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anb\Desktop\2018 2019 Final Budget to NT, Prov Treasury and COGHSTA\"/>
    </mc:Choice>
  </mc:AlternateContent>
  <workbookProtection workbookAlgorithmName="SHA-512" workbookHashValue="PHq1Mgc83LEfUYslwecejkijdZEMyOPx/y3h8Ic/Ca1UtSX4XMcDOAt/A422KtzS3sAm+1erpYlmYjSsbz1zaA==" workbookSaltValue="BJxyyL1hP5o5JUzxlWja/g==" workbookSpinCount="100000" lockStructure="1"/>
  <bookViews>
    <workbookView xWindow="0" yWindow="0" windowWidth="28800" windowHeight="11310" tabRatio="905" activeTab="15"/>
  </bookViews>
  <sheets>
    <sheet name="START" sheetId="337" r:id="rId1"/>
    <sheet name="Instructions" sheetId="338" r:id="rId2"/>
    <sheet name="Template names" sheetId="100" state="veryHidden" r:id="rId3"/>
    <sheet name="Lookup and lists" sheetId="333" state="veryHidden" r:id="rId4"/>
    <sheet name="D1-Sum" sheetId="279" r:id="rId5"/>
    <sheet name="D2-FinPerf" sheetId="65" r:id="rId6"/>
    <sheet name="D3-Capex" sheetId="202" r:id="rId7"/>
    <sheet name="D4-FinPos" sheetId="201" r:id="rId8"/>
    <sheet name="D5-CFlow" sheetId="200" r:id="rId9"/>
    <sheet name="SD1" sheetId="199" r:id="rId10"/>
    <sheet name="SD2" sheetId="198" r:id="rId11"/>
    <sheet name="SD3" sheetId="243" r:id="rId12"/>
    <sheet name="SD4" sheetId="285" r:id="rId13"/>
    <sheet name="SD5" sheetId="336" r:id="rId14"/>
    <sheet name="SD6" sheetId="204" r:id="rId15"/>
    <sheet name="SD7a" sheetId="284" r:id="rId16"/>
    <sheet name="SD7b" sheetId="341" r:id="rId17"/>
    <sheet name="SD7c" sheetId="342" r:id="rId18"/>
    <sheet name="SD7d" sheetId="344" r:id="rId19"/>
    <sheet name="SD7e" sheetId="343" r:id="rId20"/>
    <sheet name="SD8" sheetId="330" r:id="rId21"/>
    <sheet name="SD9" sheetId="329" r:id="rId22"/>
    <sheet name="SD10" sheetId="283" r:id="rId23"/>
    <sheet name="SD11" sheetId="282" r:id="rId24"/>
  </sheets>
  <externalReferences>
    <externalReference r:id="rId25"/>
    <externalReference r:id="rId26"/>
    <externalReference r:id="rId27"/>
    <externalReference r:id="rId28"/>
  </externalReferences>
  <definedNames>
    <definedName name="_ADJ1" localSheetId="1">'[1]Template names'!#REF!</definedName>
    <definedName name="_ADJ1" localSheetId="16">'Template names'!#REF!</definedName>
    <definedName name="_ADJ1" localSheetId="17">'Template names'!#REF!</definedName>
    <definedName name="_ADJ1" localSheetId="18">'Template names'!#REF!</definedName>
    <definedName name="_ADJ1" localSheetId="19">'Template names'!#REF!</definedName>
    <definedName name="_ADJ1">'Template names'!#REF!</definedName>
    <definedName name="_ADJ10" localSheetId="1">'[1]Template names'!#REF!</definedName>
    <definedName name="_ADJ10" localSheetId="16">'Template names'!#REF!</definedName>
    <definedName name="_ADJ10" localSheetId="17">'Template names'!#REF!</definedName>
    <definedName name="_ADJ10" localSheetId="18">'Template names'!#REF!</definedName>
    <definedName name="_ADJ10" localSheetId="19">'Template names'!#REF!</definedName>
    <definedName name="_ADJ10">'Template names'!#REF!</definedName>
    <definedName name="_ADJ11" localSheetId="1">'[1]Template names'!#REF!</definedName>
    <definedName name="_ADJ11" localSheetId="16">'Template names'!#REF!</definedName>
    <definedName name="_ADJ11" localSheetId="17">'Template names'!#REF!</definedName>
    <definedName name="_ADJ11" localSheetId="18">'Template names'!#REF!</definedName>
    <definedName name="_ADJ11" localSheetId="19">'Template names'!#REF!</definedName>
    <definedName name="_ADJ11">'Template names'!#REF!</definedName>
    <definedName name="_ADJ12" localSheetId="1">'[1]Template names'!#REF!</definedName>
    <definedName name="_ADJ12" localSheetId="16">'Template names'!#REF!</definedName>
    <definedName name="_ADJ12" localSheetId="17">'Template names'!#REF!</definedName>
    <definedName name="_ADJ12" localSheetId="18">'Template names'!#REF!</definedName>
    <definedName name="_ADJ12" localSheetId="19">'Template names'!#REF!</definedName>
    <definedName name="_ADJ12">'Template names'!#REF!</definedName>
    <definedName name="_ADJ13" localSheetId="1">'[1]Template names'!#REF!</definedName>
    <definedName name="_ADJ13" localSheetId="16">'Template names'!#REF!</definedName>
    <definedName name="_ADJ13" localSheetId="17">'Template names'!#REF!</definedName>
    <definedName name="_ADJ13" localSheetId="18">'Template names'!#REF!</definedName>
    <definedName name="_ADJ13" localSheetId="19">'Template names'!#REF!</definedName>
    <definedName name="_ADJ13">'Template names'!#REF!</definedName>
    <definedName name="_ADJ14" localSheetId="1">'[1]Template names'!#REF!</definedName>
    <definedName name="_ADJ14" localSheetId="16">'Template names'!#REF!</definedName>
    <definedName name="_ADJ14" localSheetId="17">'Template names'!#REF!</definedName>
    <definedName name="_ADJ14" localSheetId="18">'Template names'!#REF!</definedName>
    <definedName name="_ADJ14" localSheetId="19">'Template names'!#REF!</definedName>
    <definedName name="_ADJ14">'Template names'!#REF!</definedName>
    <definedName name="_ADJ16" localSheetId="1">'[1]Template names'!#REF!</definedName>
    <definedName name="_ADJ16" localSheetId="16">'Template names'!#REF!</definedName>
    <definedName name="_ADJ16" localSheetId="17">'Template names'!#REF!</definedName>
    <definedName name="_ADJ16" localSheetId="18">'Template names'!#REF!</definedName>
    <definedName name="_ADJ16" localSheetId="19">'Template names'!#REF!</definedName>
    <definedName name="_ADJ16">'Template names'!#REF!</definedName>
    <definedName name="_ADJ17" localSheetId="1">'[1]Template names'!#REF!</definedName>
    <definedName name="_ADJ17" localSheetId="16">'Template names'!#REF!</definedName>
    <definedName name="_ADJ17" localSheetId="17">'Template names'!#REF!</definedName>
    <definedName name="_ADJ17" localSheetId="18">'Template names'!#REF!</definedName>
    <definedName name="_ADJ17" localSheetId="19">'Template names'!#REF!</definedName>
    <definedName name="_ADJ17">'Template names'!#REF!</definedName>
    <definedName name="_ADJ18" localSheetId="1">'[1]Template names'!#REF!</definedName>
    <definedName name="_ADJ18" localSheetId="16">'Template names'!#REF!</definedName>
    <definedName name="_ADJ18" localSheetId="17">'Template names'!#REF!</definedName>
    <definedName name="_ADJ18" localSheetId="18">'Template names'!#REF!</definedName>
    <definedName name="_ADJ18" localSheetId="19">'Template names'!#REF!</definedName>
    <definedName name="_ADJ18">'Template names'!#REF!</definedName>
    <definedName name="_ADJ19" localSheetId="1">'[1]Template names'!#REF!</definedName>
    <definedName name="_ADJ19" localSheetId="16">'Template names'!#REF!</definedName>
    <definedName name="_ADJ19" localSheetId="17">'Template names'!#REF!</definedName>
    <definedName name="_ADJ19" localSheetId="18">'Template names'!#REF!</definedName>
    <definedName name="_ADJ19" localSheetId="19">'Template names'!#REF!</definedName>
    <definedName name="_ADJ19">'Template names'!#REF!</definedName>
    <definedName name="_ADJ2" localSheetId="1">'[1]Template names'!#REF!</definedName>
    <definedName name="_ADJ2" localSheetId="16">'Template names'!#REF!</definedName>
    <definedName name="_ADJ2" localSheetId="17">'Template names'!#REF!</definedName>
    <definedName name="_ADJ2" localSheetId="18">'Template names'!#REF!</definedName>
    <definedName name="_ADJ2" localSheetId="19">'Template names'!#REF!</definedName>
    <definedName name="_ADJ2">'Template names'!#REF!</definedName>
    <definedName name="_ADJ3" localSheetId="1">'[1]Template names'!#REF!</definedName>
    <definedName name="_ADJ3" localSheetId="16">'Template names'!#REF!</definedName>
    <definedName name="_ADJ3" localSheetId="17">'Template names'!#REF!</definedName>
    <definedName name="_ADJ3" localSheetId="18">'Template names'!#REF!</definedName>
    <definedName name="_ADJ3" localSheetId="19">'Template names'!#REF!</definedName>
    <definedName name="_ADJ3">'Template names'!#REF!</definedName>
    <definedName name="_ADJ4" localSheetId="1">'[1]Template names'!#REF!</definedName>
    <definedName name="_ADJ4" localSheetId="16">'Template names'!#REF!</definedName>
    <definedName name="_ADJ4" localSheetId="17">'Template names'!#REF!</definedName>
    <definedName name="_ADJ4" localSheetId="18">'Template names'!#REF!</definedName>
    <definedName name="_ADJ4" localSheetId="19">'Template names'!#REF!</definedName>
    <definedName name="_ADJ4">'Template names'!#REF!</definedName>
    <definedName name="_ADJ5" localSheetId="1">'[1]Template names'!#REF!</definedName>
    <definedName name="_ADJ5" localSheetId="16">'Template names'!#REF!</definedName>
    <definedName name="_ADJ5" localSheetId="17">'Template names'!#REF!</definedName>
    <definedName name="_ADJ5" localSheetId="18">'Template names'!#REF!</definedName>
    <definedName name="_ADJ5" localSheetId="19">'Template names'!#REF!</definedName>
    <definedName name="_ADJ5">'Template names'!#REF!</definedName>
    <definedName name="_ADJ6" localSheetId="1">'[1]Template names'!#REF!</definedName>
    <definedName name="_ADJ6" localSheetId="16">'Template names'!#REF!</definedName>
    <definedName name="_ADJ6" localSheetId="17">'Template names'!#REF!</definedName>
    <definedName name="_ADJ6" localSheetId="18">'Template names'!#REF!</definedName>
    <definedName name="_ADJ6" localSheetId="19">'Template names'!#REF!</definedName>
    <definedName name="_ADJ6">'Template names'!#REF!</definedName>
    <definedName name="_ADJ7" localSheetId="1">'[1]Template names'!#REF!</definedName>
    <definedName name="_ADJ7" localSheetId="16">'Template names'!#REF!</definedName>
    <definedName name="_ADJ7" localSheetId="17">'Template names'!#REF!</definedName>
    <definedName name="_ADJ7" localSheetId="18">'Template names'!#REF!</definedName>
    <definedName name="_ADJ7" localSheetId="19">'Template names'!#REF!</definedName>
    <definedName name="_ADJ7">'Template names'!#REF!</definedName>
    <definedName name="_ADJ8" localSheetId="1">'[1]Template names'!#REF!</definedName>
    <definedName name="_ADJ8" localSheetId="16">'Template names'!#REF!</definedName>
    <definedName name="_ADJ8" localSheetId="17">'Template names'!#REF!</definedName>
    <definedName name="_ADJ8" localSheetId="18">'Template names'!#REF!</definedName>
    <definedName name="_ADJ8" localSheetId="19">'Template names'!#REF!</definedName>
    <definedName name="_ADJ8">'Template names'!#REF!</definedName>
    <definedName name="_ADJ9" localSheetId="1">'[1]Template names'!#REF!</definedName>
    <definedName name="_ADJ9" localSheetId="16">'Template names'!#REF!</definedName>
    <definedName name="_ADJ9" localSheetId="17">'Template names'!#REF!</definedName>
    <definedName name="_ADJ9" localSheetId="18">'Template names'!#REF!</definedName>
    <definedName name="_ADJ9" localSheetId="19">'Template names'!#REF!</definedName>
    <definedName name="_ADJ9">'Template names'!#REF!</definedName>
    <definedName name="_ccf04" localSheetId="1">#REF!</definedName>
    <definedName name="_ccf04" localSheetId="16">#REF!</definedName>
    <definedName name="_ccf04" localSheetId="17">#REF!</definedName>
    <definedName name="_ccf04" localSheetId="18">#REF!</definedName>
    <definedName name="_ccf04" localSheetId="19">#REF!</definedName>
    <definedName name="_ccf04">#REF!</definedName>
    <definedName name="_ccf05" localSheetId="1">#REF!</definedName>
    <definedName name="_ccf05" localSheetId="16">#REF!</definedName>
    <definedName name="_ccf05" localSheetId="17">#REF!</definedName>
    <definedName name="_ccf05" localSheetId="18">#REF!</definedName>
    <definedName name="_ccf05" localSheetId="19">#REF!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2">'[2]Balance Sheet'!$E$50</definedName>
    <definedName name="_cpi3">'[2]Balance Sheet'!$F$50</definedName>
    <definedName name="_DEP1" localSheetId="16">'Template names'!#REF!</definedName>
    <definedName name="_DEP1" localSheetId="17">'Template names'!#REF!</definedName>
    <definedName name="_DEP1" localSheetId="18">'Template names'!#REF!</definedName>
    <definedName name="_DEP1" localSheetId="19">'Template names'!#REF!</definedName>
    <definedName name="_DEP1">'Template names'!#REF!</definedName>
    <definedName name="_DEP10" localSheetId="16">'Template names'!#REF!</definedName>
    <definedName name="_DEP10" localSheetId="17">'Template names'!#REF!</definedName>
    <definedName name="_DEP10" localSheetId="18">'Template names'!#REF!</definedName>
    <definedName name="_DEP10" localSheetId="19">'Template names'!#REF!</definedName>
    <definedName name="_DEP10">'Template names'!#REF!</definedName>
    <definedName name="_DEP11" localSheetId="16">'Template names'!#REF!</definedName>
    <definedName name="_DEP11" localSheetId="17">'Template names'!#REF!</definedName>
    <definedName name="_DEP11" localSheetId="18">'Template names'!#REF!</definedName>
    <definedName name="_DEP11" localSheetId="19">'Template names'!#REF!</definedName>
    <definedName name="_DEP11">'Template names'!#REF!</definedName>
    <definedName name="_DEP12" localSheetId="16">'Template names'!#REF!</definedName>
    <definedName name="_DEP12" localSheetId="17">'Template names'!#REF!</definedName>
    <definedName name="_DEP12" localSheetId="18">'Template names'!#REF!</definedName>
    <definedName name="_DEP12" localSheetId="19">'Template names'!#REF!</definedName>
    <definedName name="_DEP12">'Template names'!#REF!</definedName>
    <definedName name="_DEP13" localSheetId="16">'Template names'!#REF!</definedName>
    <definedName name="_DEP13" localSheetId="17">'Template names'!#REF!</definedName>
    <definedName name="_DEP13" localSheetId="18">'Template names'!#REF!</definedName>
    <definedName name="_DEP13" localSheetId="19">'Template names'!#REF!</definedName>
    <definedName name="_DEP13">'Template names'!#REF!</definedName>
    <definedName name="_DEP14" localSheetId="16">'Template names'!#REF!</definedName>
    <definedName name="_DEP14" localSheetId="17">'Template names'!#REF!</definedName>
    <definedName name="_DEP14" localSheetId="18">'Template names'!#REF!</definedName>
    <definedName name="_DEP14" localSheetId="19">'Template names'!#REF!</definedName>
    <definedName name="_DEP14">'Template names'!#REF!</definedName>
    <definedName name="_DEP2" localSheetId="16">'Template names'!#REF!</definedName>
    <definedName name="_DEP2" localSheetId="17">'Template names'!#REF!</definedName>
    <definedName name="_DEP2" localSheetId="18">'Template names'!#REF!</definedName>
    <definedName name="_DEP2" localSheetId="19">'Template names'!#REF!</definedName>
    <definedName name="_DEP2">'Template names'!#REF!</definedName>
    <definedName name="_DEP3" localSheetId="16">'Template names'!#REF!</definedName>
    <definedName name="_DEP3" localSheetId="17">'Template names'!#REF!</definedName>
    <definedName name="_DEP3" localSheetId="18">'Template names'!#REF!</definedName>
    <definedName name="_DEP3" localSheetId="19">'Template names'!#REF!</definedName>
    <definedName name="_DEP3">'Template names'!#REF!</definedName>
    <definedName name="_DEP4" localSheetId="16">'Template names'!#REF!</definedName>
    <definedName name="_DEP4" localSheetId="17">'Template names'!#REF!</definedName>
    <definedName name="_DEP4" localSheetId="18">'Template names'!#REF!</definedName>
    <definedName name="_DEP4" localSheetId="19">'Template names'!#REF!</definedName>
    <definedName name="_DEP4">'Template names'!#REF!</definedName>
    <definedName name="_DEP5" localSheetId="16">'Template names'!#REF!</definedName>
    <definedName name="_DEP5" localSheetId="17">'Template names'!#REF!</definedName>
    <definedName name="_DEP5" localSheetId="18">'Template names'!#REF!</definedName>
    <definedName name="_DEP5" localSheetId="19">'Template names'!#REF!</definedName>
    <definedName name="_DEP5">'Template names'!#REF!</definedName>
    <definedName name="_DEP6" localSheetId="16">'Template names'!#REF!</definedName>
    <definedName name="_DEP6" localSheetId="17">'Template names'!#REF!</definedName>
    <definedName name="_DEP6" localSheetId="18">'Template names'!#REF!</definedName>
    <definedName name="_DEP6" localSheetId="19">'Template names'!#REF!</definedName>
    <definedName name="_DEP6">'Template names'!#REF!</definedName>
    <definedName name="_DEP7" localSheetId="16">'Template names'!#REF!</definedName>
    <definedName name="_DEP7" localSheetId="17">'Template names'!#REF!</definedName>
    <definedName name="_DEP7" localSheetId="18">'Template names'!#REF!</definedName>
    <definedName name="_DEP7" localSheetId="19">'Template names'!#REF!</definedName>
    <definedName name="_DEP7">'Template names'!#REF!</definedName>
    <definedName name="_DEP8" localSheetId="16">'Template names'!#REF!</definedName>
    <definedName name="_DEP8" localSheetId="17">'Template names'!#REF!</definedName>
    <definedName name="_DEP8" localSheetId="18">'Template names'!#REF!</definedName>
    <definedName name="_DEP8" localSheetId="19">'Template names'!#REF!</definedName>
    <definedName name="_DEP8">'Template names'!#REF!</definedName>
    <definedName name="_DEP9" localSheetId="16">'Template names'!#REF!</definedName>
    <definedName name="_DEP9" localSheetId="17">'Template names'!#REF!</definedName>
    <definedName name="_DEP9" localSheetId="18">'Template names'!#REF!</definedName>
    <definedName name="_DEP9" localSheetId="19">'Template names'!#REF!</definedName>
    <definedName name="_DEP9">'Template names'!#REF!</definedName>
    <definedName name="_ecf04" localSheetId="1">#REF!</definedName>
    <definedName name="_ecf04" localSheetId="16">#REF!</definedName>
    <definedName name="_ecf04" localSheetId="17">#REF!</definedName>
    <definedName name="_ecf04" localSheetId="18">#REF!</definedName>
    <definedName name="_ecf04" localSheetId="19">#REF!</definedName>
    <definedName name="_ecf04">#REF!</definedName>
    <definedName name="_ecf05" localSheetId="1">#REF!</definedName>
    <definedName name="_ecf05" localSheetId="16">#REF!</definedName>
    <definedName name="_ecf05" localSheetId="17">#REF!</definedName>
    <definedName name="_ecf05" localSheetId="18">#REF!</definedName>
    <definedName name="_ecf05" localSheetId="19">#REF!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1">#REF!</definedName>
    <definedName name="_emp04" localSheetId="16">#REF!</definedName>
    <definedName name="_emp04" localSheetId="17">#REF!</definedName>
    <definedName name="_emp04" localSheetId="18">#REF!</definedName>
    <definedName name="_emp04" localSheetId="19">#REF!</definedName>
    <definedName name="_emp04">#REF!</definedName>
    <definedName name="_emp05" localSheetId="1">#REF!</definedName>
    <definedName name="_emp05" localSheetId="16">#REF!</definedName>
    <definedName name="_emp05" localSheetId="17">#REF!</definedName>
    <definedName name="_emp05" localSheetId="18">#REF!</definedName>
    <definedName name="_emp05" localSheetId="19">#REF!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Ent1" localSheetId="16">'Template names'!#REF!</definedName>
    <definedName name="_Ent1" localSheetId="17">'Template names'!#REF!</definedName>
    <definedName name="_Ent1" localSheetId="18">'Template names'!#REF!</definedName>
    <definedName name="_Ent1" localSheetId="19">'Template names'!#REF!</definedName>
    <definedName name="_Ent1">'Template names'!#REF!</definedName>
    <definedName name="_Ent2" localSheetId="16">'Template names'!#REF!</definedName>
    <definedName name="_Ent2" localSheetId="17">'Template names'!#REF!</definedName>
    <definedName name="_Ent2" localSheetId="18">'Template names'!#REF!</definedName>
    <definedName name="_Ent2" localSheetId="19">'Template names'!#REF!</definedName>
    <definedName name="_Ent2">'Template names'!#REF!</definedName>
    <definedName name="_Ent3" localSheetId="16">'Template names'!#REF!</definedName>
    <definedName name="_Ent3" localSheetId="17">'Template names'!#REF!</definedName>
    <definedName name="_Ent3" localSheetId="18">'Template names'!#REF!</definedName>
    <definedName name="_Ent3" localSheetId="19">'Template names'!#REF!</definedName>
    <definedName name="_Ent3">'Template names'!#REF!</definedName>
    <definedName name="_inf1" localSheetId="1">#REF!</definedName>
    <definedName name="_inf1" localSheetId="16">#REF!</definedName>
    <definedName name="_inf1" localSheetId="17">#REF!</definedName>
    <definedName name="_inf1" localSheetId="18">#REF!</definedName>
    <definedName name="_inf1" localSheetId="19">#REF!</definedName>
    <definedName name="_inf1">#REF!</definedName>
    <definedName name="_inf2" localSheetId="1">#REF!</definedName>
    <definedName name="_inf2" localSheetId="16">#REF!</definedName>
    <definedName name="_inf2" localSheetId="17">#REF!</definedName>
    <definedName name="_inf2" localSheetId="18">#REF!</definedName>
    <definedName name="_inf2" localSheetId="19">#REF!</definedName>
    <definedName name="_inf2">#REF!</definedName>
    <definedName name="_inf3" localSheetId="1">#REF!</definedName>
    <definedName name="_inf3" localSheetId="16">#REF!</definedName>
    <definedName name="_inf3" localSheetId="17">#REF!</definedName>
    <definedName name="_inf3" localSheetId="18">#REF!</definedName>
    <definedName name="_inf3" localSheetId="19">#REF!</definedName>
    <definedName name="_inf3">#REF!</definedName>
    <definedName name="_int04" localSheetId="1">#REF!</definedName>
    <definedName name="_int04" localSheetId="16">#REF!</definedName>
    <definedName name="_int04" localSheetId="17">#REF!</definedName>
    <definedName name="_int04" localSheetId="18">#REF!</definedName>
    <definedName name="_int04" localSheetId="19">#REF!</definedName>
    <definedName name="_int04">#REF!</definedName>
    <definedName name="_int05" localSheetId="1">#REF!</definedName>
    <definedName name="_int05" localSheetId="16">#REF!</definedName>
    <definedName name="_int05" localSheetId="17">#REF!</definedName>
    <definedName name="_int05" localSheetId="18">#REF!</definedName>
    <definedName name="_int05" localSheetId="19">#REF!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1">#REF!</definedName>
    <definedName name="_inv04" localSheetId="16">#REF!</definedName>
    <definedName name="_inv04" localSheetId="17">#REF!</definedName>
    <definedName name="_inv04" localSheetId="18">#REF!</definedName>
    <definedName name="_inv04" localSheetId="19">#REF!</definedName>
    <definedName name="_inv04">#REF!</definedName>
    <definedName name="_inv05" localSheetId="1">#REF!</definedName>
    <definedName name="_inv05" localSheetId="16">#REF!</definedName>
    <definedName name="_inv05" localSheetId="17">#REF!</definedName>
    <definedName name="_inv05" localSheetId="18">#REF!</definedName>
    <definedName name="_inv05" localSheetId="19">#REF!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1">'[1]Template names'!#REF!</definedName>
    <definedName name="_MEB1">'Template names'!$B$81</definedName>
    <definedName name="_MEB10" localSheetId="1">'[1]Template names'!#REF!</definedName>
    <definedName name="_MEB10">'Template names'!$B$99</definedName>
    <definedName name="_MEB11" localSheetId="1">'[1]Template names'!#REF!</definedName>
    <definedName name="_MEB11">'Template names'!$B$100</definedName>
    <definedName name="_MEB12" localSheetId="1">'[1]Template names'!#REF!</definedName>
    <definedName name="_MEB12">'Template names'!$B$97</definedName>
    <definedName name="_MEB13">'Template names'!$B$98</definedName>
    <definedName name="_MEB2" localSheetId="1">'[1]Template names'!#REF!</definedName>
    <definedName name="_MEB2">'Template names'!$B$83</definedName>
    <definedName name="_MEB3" localSheetId="1">'[1]Template names'!#REF!</definedName>
    <definedName name="_MEB3">'Template names'!$B$84</definedName>
    <definedName name="_MEB4" localSheetId="1">'[1]Template names'!#REF!</definedName>
    <definedName name="_MEB4">'Template names'!$B$85</definedName>
    <definedName name="_MEB5" localSheetId="1">'[1]Template names'!#REF!</definedName>
    <definedName name="_MEB5">'Template names'!$B$88</definedName>
    <definedName name="_MEB6" localSheetId="1">'[1]Template names'!#REF!</definedName>
    <definedName name="_MEB6">'Template names'!$B$86</definedName>
    <definedName name="_MEB7" localSheetId="1">'[1]Template names'!#REF!</definedName>
    <definedName name="_MEB7">'Template names'!$B$87</definedName>
    <definedName name="_MEB8" localSheetId="1">'[1]Template names'!#REF!</definedName>
    <definedName name="_MEB8">'Template names'!$B$91</definedName>
    <definedName name="_MEB9" localSheetId="1">'[1]Template names'!#REF!</definedName>
    <definedName name="_MEB9">'Template names'!$B$92</definedName>
    <definedName name="_MER1" localSheetId="1">'[1]Template names'!#REF!</definedName>
    <definedName name="_MER1" localSheetId="16">'Template names'!#REF!</definedName>
    <definedName name="_MER1" localSheetId="17">'Template names'!#REF!</definedName>
    <definedName name="_MER1" localSheetId="18">'Template names'!#REF!</definedName>
    <definedName name="_MER1" localSheetId="19">'Template names'!#REF!</definedName>
    <definedName name="_MER1">'Template names'!#REF!</definedName>
    <definedName name="_MER10" localSheetId="1">'[1]Template names'!#REF!</definedName>
    <definedName name="_MER10" localSheetId="16">'Template names'!#REF!</definedName>
    <definedName name="_MER10" localSheetId="17">'Template names'!#REF!</definedName>
    <definedName name="_MER10" localSheetId="18">'Template names'!#REF!</definedName>
    <definedName name="_MER10" localSheetId="19">'Template names'!#REF!</definedName>
    <definedName name="_MER10">'Template names'!#REF!</definedName>
    <definedName name="_MER11" localSheetId="1">'[1]Template names'!#REF!</definedName>
    <definedName name="_MER11" localSheetId="16">'Template names'!#REF!</definedName>
    <definedName name="_MER11" localSheetId="17">'Template names'!#REF!</definedName>
    <definedName name="_MER11" localSheetId="18">'Template names'!#REF!</definedName>
    <definedName name="_MER11" localSheetId="19">'Template names'!#REF!</definedName>
    <definedName name="_MER11">'Template names'!#REF!</definedName>
    <definedName name="_MER2" localSheetId="1">'[1]Template names'!#REF!</definedName>
    <definedName name="_MER2" localSheetId="16">'Template names'!#REF!</definedName>
    <definedName name="_MER2" localSheetId="17">'Template names'!#REF!</definedName>
    <definedName name="_MER2" localSheetId="18">'Template names'!#REF!</definedName>
    <definedName name="_MER2" localSheetId="19">'Template names'!#REF!</definedName>
    <definedName name="_MER2">'Template names'!#REF!</definedName>
    <definedName name="_MER3" localSheetId="1">'[1]Template names'!#REF!</definedName>
    <definedName name="_MER3" localSheetId="16">'Template names'!#REF!</definedName>
    <definedName name="_MER3" localSheetId="17">'Template names'!#REF!</definedName>
    <definedName name="_MER3" localSheetId="18">'Template names'!#REF!</definedName>
    <definedName name="_MER3" localSheetId="19">'Template names'!#REF!</definedName>
    <definedName name="_MER3">'Template names'!#REF!</definedName>
    <definedName name="_MER4" localSheetId="1">'[1]Template names'!#REF!</definedName>
    <definedName name="_MER4" localSheetId="16">'Template names'!#REF!</definedName>
    <definedName name="_MER4" localSheetId="17">'Template names'!#REF!</definedName>
    <definedName name="_MER4" localSheetId="18">'Template names'!#REF!</definedName>
    <definedName name="_MER4" localSheetId="19">'Template names'!#REF!</definedName>
    <definedName name="_MER4">'Template names'!#REF!</definedName>
    <definedName name="_MER5" localSheetId="1">'[1]Template names'!#REF!</definedName>
    <definedName name="_MER5" localSheetId="16">'Template names'!#REF!</definedName>
    <definedName name="_MER5" localSheetId="17">'Template names'!#REF!</definedName>
    <definedName name="_MER5" localSheetId="18">'Template names'!#REF!</definedName>
    <definedName name="_MER5" localSheetId="19">'Template names'!#REF!</definedName>
    <definedName name="_MER5">'Template names'!#REF!</definedName>
    <definedName name="_MER6" localSheetId="1">'[1]Template names'!#REF!</definedName>
    <definedName name="_MER6" localSheetId="16">'Template names'!#REF!</definedName>
    <definedName name="_MER6" localSheetId="17">'Template names'!#REF!</definedName>
    <definedName name="_MER6" localSheetId="18">'Template names'!#REF!</definedName>
    <definedName name="_MER6" localSheetId="19">'Template names'!#REF!</definedName>
    <definedName name="_MER6">'Template names'!#REF!</definedName>
    <definedName name="_MER7" localSheetId="1">'[1]Template names'!#REF!</definedName>
    <definedName name="_MER7" localSheetId="16">'Template names'!#REF!</definedName>
    <definedName name="_MER7" localSheetId="17">'Template names'!#REF!</definedName>
    <definedName name="_MER7" localSheetId="18">'Template names'!#REF!</definedName>
    <definedName name="_MER7" localSheetId="19">'Template names'!#REF!</definedName>
    <definedName name="_MER7">'Template names'!#REF!</definedName>
    <definedName name="_MER8" localSheetId="1">'[1]Template names'!#REF!</definedName>
    <definedName name="_MER8" localSheetId="16">'Template names'!#REF!</definedName>
    <definedName name="_MER8" localSheetId="17">'Template names'!#REF!</definedName>
    <definedName name="_MER8" localSheetId="18">'Template names'!#REF!</definedName>
    <definedName name="_MER8" localSheetId="19">'Template names'!#REF!</definedName>
    <definedName name="_MER8">'Template names'!#REF!</definedName>
    <definedName name="_MER9" localSheetId="1">'[1]Template names'!#REF!</definedName>
    <definedName name="_MER9" localSheetId="16">'Template names'!#REF!</definedName>
    <definedName name="_MER9" localSheetId="17">'Template names'!#REF!</definedName>
    <definedName name="_MER9" localSheetId="18">'Template names'!#REF!</definedName>
    <definedName name="_MER9" localSheetId="19">'Template names'!#REF!</definedName>
    <definedName name="_MER9">'Template names'!#REF!</definedName>
    <definedName name="_rat03" localSheetId="1">#REF!</definedName>
    <definedName name="_rat03" localSheetId="16">#REF!</definedName>
    <definedName name="_rat03" localSheetId="17">#REF!</definedName>
    <definedName name="_rat03" localSheetId="18">#REF!</definedName>
    <definedName name="_rat03" localSheetId="19">#REF!</definedName>
    <definedName name="_rat03">#REF!</definedName>
    <definedName name="_rat04" localSheetId="1">#REF!</definedName>
    <definedName name="_rat04" localSheetId="16">#REF!</definedName>
    <definedName name="_rat04" localSheetId="17">#REF!</definedName>
    <definedName name="_rat04" localSheetId="18">#REF!</definedName>
    <definedName name="_rat04" localSheetId="19">#REF!</definedName>
    <definedName name="_rat04">#REF!</definedName>
    <definedName name="_rat05" localSheetId="1">#REF!</definedName>
    <definedName name="_rat05" localSheetId="16">#REF!</definedName>
    <definedName name="_rat05" localSheetId="17">#REF!</definedName>
    <definedName name="_rat05" localSheetId="18">#REF!</definedName>
    <definedName name="_rat05" localSheetId="19">#REF!</definedName>
    <definedName name="_rat05">#REF!</definedName>
    <definedName name="_rat06" localSheetId="1">#REF!</definedName>
    <definedName name="_rat06" localSheetId="16">#REF!</definedName>
    <definedName name="_rat06" localSheetId="17">#REF!</definedName>
    <definedName name="_rat06" localSheetId="18">#REF!</definedName>
    <definedName name="_rat06" localSheetId="19">#REF!</definedName>
    <definedName name="_rat06">#REF!</definedName>
    <definedName name="_rat07" localSheetId="1">#REF!</definedName>
    <definedName name="_rat07" localSheetId="16">#REF!</definedName>
    <definedName name="_rat07" localSheetId="17">#REF!</definedName>
    <definedName name="_rat07" localSheetId="18">#REF!</definedName>
    <definedName name="_rat07" localSheetId="19">#REF!</definedName>
    <definedName name="_rat07">#REF!</definedName>
    <definedName name="_rat08" localSheetId="1">#REF!</definedName>
    <definedName name="_rat08" localSheetId="16">#REF!</definedName>
    <definedName name="_rat08" localSheetId="17">#REF!</definedName>
    <definedName name="_rat08" localSheetId="18">#REF!</definedName>
    <definedName name="_rat08" localSheetId="19">#REF!</definedName>
    <definedName name="_rat08">#REF!</definedName>
    <definedName name="_rat09" localSheetId="1">#REF!</definedName>
    <definedName name="_rat09" localSheetId="16">#REF!</definedName>
    <definedName name="_rat09" localSheetId="17">#REF!</definedName>
    <definedName name="_rat09" localSheetId="18">#REF!</definedName>
    <definedName name="_rat09" localSheetId="19">#REF!</definedName>
    <definedName name="_rat09">#REF!</definedName>
    <definedName name="_rat10" localSheetId="1">#REF!</definedName>
    <definedName name="_rat10" localSheetId="16">#REF!</definedName>
    <definedName name="_rat10" localSheetId="17">#REF!</definedName>
    <definedName name="_rat10" localSheetId="18">#REF!</definedName>
    <definedName name="_rat10" localSheetId="19">#REF!</definedName>
    <definedName name="_rat10">#REF!</definedName>
    <definedName name="_rat11" localSheetId="1">#REF!</definedName>
    <definedName name="_rat11" localSheetId="16">#REF!</definedName>
    <definedName name="_rat11" localSheetId="17">#REF!</definedName>
    <definedName name="_rat11" localSheetId="18">#REF!</definedName>
    <definedName name="_rat11" localSheetId="19">#REF!</definedName>
    <definedName name="_rat11">#REF!</definedName>
    <definedName name="_rat12" localSheetId="1">#REF!</definedName>
    <definedName name="_rat12" localSheetId="16">#REF!</definedName>
    <definedName name="_rat12" localSheetId="17">#REF!</definedName>
    <definedName name="_rat12" localSheetId="18">#REF!</definedName>
    <definedName name="_rat12" localSheetId="19">#REF!</definedName>
    <definedName name="_rat12">#REF!</definedName>
    <definedName name="_rat13" localSheetId="1">#REF!</definedName>
    <definedName name="_rat13" localSheetId="16">#REF!</definedName>
    <definedName name="_rat13" localSheetId="17">#REF!</definedName>
    <definedName name="_rat13" localSheetId="18">#REF!</definedName>
    <definedName name="_rat13" localSheetId="19">#REF!</definedName>
    <definedName name="_rat13">#REF!</definedName>
    <definedName name="_rgr05" localSheetId="1">#REF!</definedName>
    <definedName name="_rgr05" localSheetId="16">#REF!</definedName>
    <definedName name="_rgr05" localSheetId="17">#REF!</definedName>
    <definedName name="_rgr05" localSheetId="18">#REF!</definedName>
    <definedName name="_rgr05" localSheetId="19">#REF!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1">#REF!</definedName>
    <definedName name="_rmc05" localSheetId="16">#REF!</definedName>
    <definedName name="_rmc05" localSheetId="17">#REF!</definedName>
    <definedName name="_rmc05" localSheetId="18">#REF!</definedName>
    <definedName name="_rmc05" localSheetId="19">#REF!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 localSheetId="16">'Template names'!#REF!</definedName>
    <definedName name="_Sch1" localSheetId="17">'Template names'!#REF!</definedName>
    <definedName name="_Sch1" localSheetId="18">'Template names'!#REF!</definedName>
    <definedName name="_Sch1" localSheetId="19">'Template names'!#REF!</definedName>
    <definedName name="_Sch1">'Template names'!#REF!</definedName>
    <definedName name="_Sch10" localSheetId="16">'Template names'!#REF!</definedName>
    <definedName name="_Sch10" localSheetId="17">'Template names'!#REF!</definedName>
    <definedName name="_Sch10" localSheetId="18">'Template names'!#REF!</definedName>
    <definedName name="_Sch10" localSheetId="19">'Template names'!#REF!</definedName>
    <definedName name="_Sch10">'Template names'!#REF!</definedName>
    <definedName name="_sch11" localSheetId="16">'Template names'!#REF!</definedName>
    <definedName name="_sch11" localSheetId="17">'Template names'!#REF!</definedName>
    <definedName name="_sch11" localSheetId="18">'Template names'!#REF!</definedName>
    <definedName name="_sch11" localSheetId="19">'Template names'!#REF!</definedName>
    <definedName name="_sch11">'Template names'!#REF!</definedName>
    <definedName name="_Sch2" localSheetId="16">'Template names'!#REF!</definedName>
    <definedName name="_Sch2" localSheetId="17">'Template names'!#REF!</definedName>
    <definedName name="_Sch2" localSheetId="18">'Template names'!#REF!</definedName>
    <definedName name="_Sch2" localSheetId="19">'Template names'!#REF!</definedName>
    <definedName name="_Sch2">'Template names'!#REF!</definedName>
    <definedName name="_Sch3" localSheetId="16">'Template names'!#REF!</definedName>
    <definedName name="_Sch3" localSheetId="17">'Template names'!#REF!</definedName>
    <definedName name="_Sch3" localSheetId="18">'Template names'!#REF!</definedName>
    <definedName name="_Sch3" localSheetId="19">'Template names'!#REF!</definedName>
    <definedName name="_Sch3">'Template names'!#REF!</definedName>
    <definedName name="_Sch4" localSheetId="16">'Template names'!#REF!</definedName>
    <definedName name="_Sch4" localSheetId="17">'Template names'!#REF!</definedName>
    <definedName name="_Sch4" localSheetId="18">'Template names'!#REF!</definedName>
    <definedName name="_Sch4" localSheetId="19">'Template names'!#REF!</definedName>
    <definedName name="_Sch4">'Template names'!#REF!</definedName>
    <definedName name="_Sch5" localSheetId="16">'Template names'!#REF!</definedName>
    <definedName name="_Sch5" localSheetId="17">'Template names'!#REF!</definedName>
    <definedName name="_Sch5" localSheetId="18">'Template names'!#REF!</definedName>
    <definedName name="_Sch5" localSheetId="19">'Template names'!#REF!</definedName>
    <definedName name="_Sch5">'Template names'!#REF!</definedName>
    <definedName name="_Sch6" localSheetId="16">'Template names'!#REF!</definedName>
    <definedName name="_Sch6" localSheetId="17">'Template names'!#REF!</definedName>
    <definedName name="_Sch6" localSheetId="18">'Template names'!#REF!</definedName>
    <definedName name="_Sch6" localSheetId="19">'Template names'!#REF!</definedName>
    <definedName name="_Sch6">'Template names'!#REF!</definedName>
    <definedName name="_Sch7" localSheetId="16">'Template names'!#REF!</definedName>
    <definedName name="_Sch7" localSheetId="17">'Template names'!#REF!</definedName>
    <definedName name="_Sch7" localSheetId="18">'Template names'!#REF!</definedName>
    <definedName name="_Sch7" localSheetId="19">'Template names'!#REF!</definedName>
    <definedName name="_Sch7">'Template names'!#REF!</definedName>
    <definedName name="_Sch8" localSheetId="16">'Template names'!#REF!</definedName>
    <definedName name="_Sch8" localSheetId="17">'Template names'!#REF!</definedName>
    <definedName name="_Sch8" localSheetId="18">'Template names'!#REF!</definedName>
    <definedName name="_Sch8" localSheetId="19">'Template names'!#REF!</definedName>
    <definedName name="_Sch8">'Template names'!#REF!</definedName>
    <definedName name="_Sch9" localSheetId="16">'Template names'!#REF!</definedName>
    <definedName name="_Sch9" localSheetId="17">'Template names'!#REF!</definedName>
    <definedName name="_Sch9" localSheetId="18">'Template names'!#REF!</definedName>
    <definedName name="_Sch9" localSheetId="19">'Template names'!#REF!</definedName>
    <definedName name="_Sch9">'Template names'!#REF!</definedName>
    <definedName name="_sdc05" localSheetId="1">#REF!</definedName>
    <definedName name="_sdc05" localSheetId="16">#REF!</definedName>
    <definedName name="_sdc05" localSheetId="17">#REF!</definedName>
    <definedName name="_sdc05" localSheetId="18">#REF!</definedName>
    <definedName name="_sdc05" localSheetId="19">#REF!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1">#REF!</definedName>
    <definedName name="_wc05" localSheetId="16">#REF!</definedName>
    <definedName name="_wc05" localSheetId="17">#REF!</definedName>
    <definedName name="_wc05" localSheetId="18">#REF!</definedName>
    <definedName name="_wc05" localSheetId="19">#REF!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1">'[1]Template names'!#REF!</definedName>
    <definedName name="ADJ10plus" localSheetId="16">'Template names'!#REF!</definedName>
    <definedName name="ADJ10plus" localSheetId="17">'Template names'!#REF!</definedName>
    <definedName name="ADJ10plus" localSheetId="18">'Template names'!#REF!</definedName>
    <definedName name="ADJ10plus" localSheetId="19">'Template names'!#REF!</definedName>
    <definedName name="ADJ10plus">'Template names'!#REF!</definedName>
    <definedName name="ADJ18A" localSheetId="1">'[1]Template names'!#REF!</definedName>
    <definedName name="ADJ18A" localSheetId="16">'Template names'!#REF!</definedName>
    <definedName name="ADJ18A" localSheetId="17">'Template names'!#REF!</definedName>
    <definedName name="ADJ18A" localSheetId="18">'Template names'!#REF!</definedName>
    <definedName name="ADJ18A" localSheetId="19">'Template names'!#REF!</definedName>
    <definedName name="ADJ18A">'Template names'!#REF!</definedName>
    <definedName name="ADJ18B" localSheetId="1">'[1]Template names'!#REF!</definedName>
    <definedName name="ADJ18B" localSheetId="16">'Template names'!#REF!</definedName>
    <definedName name="ADJ18B" localSheetId="17">'Template names'!#REF!</definedName>
    <definedName name="ADJ18B" localSheetId="18">'Template names'!#REF!</definedName>
    <definedName name="ADJ18B" localSheetId="19">'Template names'!#REF!</definedName>
    <definedName name="ADJ18B">'Template names'!#REF!</definedName>
    <definedName name="ADJ19B" localSheetId="1">'[1]Template names'!#REF!</definedName>
    <definedName name="ADJ19B" localSheetId="16">'Template names'!#REF!</definedName>
    <definedName name="ADJ19B" localSheetId="17">'Template names'!#REF!</definedName>
    <definedName name="ADJ19B" localSheetId="18">'Template names'!#REF!</definedName>
    <definedName name="ADJ19B" localSheetId="19">'Template names'!#REF!</definedName>
    <definedName name="ADJ19B">'Template names'!#REF!</definedName>
    <definedName name="ADJ8A" localSheetId="1">'[1]Template names'!#REF!</definedName>
    <definedName name="ADJ8A" localSheetId="16">'Template names'!#REF!</definedName>
    <definedName name="ADJ8A" localSheetId="17">'Template names'!#REF!</definedName>
    <definedName name="ADJ8A" localSheetId="18">'Template names'!#REF!</definedName>
    <definedName name="ADJ8A" localSheetId="19">'Template names'!#REF!</definedName>
    <definedName name="ADJ8A">'Template names'!#REF!</definedName>
    <definedName name="ADJ8B" localSheetId="1">'[1]Template names'!#REF!</definedName>
    <definedName name="ADJ8B" localSheetId="16">'Template names'!#REF!</definedName>
    <definedName name="ADJ8B" localSheetId="17">'Template names'!#REF!</definedName>
    <definedName name="ADJ8B" localSheetId="18">'Template names'!#REF!</definedName>
    <definedName name="ADJ8B" localSheetId="19">'Template names'!#REF!</definedName>
    <definedName name="ADJ8B">'Template names'!#REF!</definedName>
    <definedName name="ADJP1" localSheetId="1">'[1]Template names'!#REF!</definedName>
    <definedName name="ADJP1" localSheetId="16">'Template names'!#REF!</definedName>
    <definedName name="ADJP1" localSheetId="17">'Template names'!#REF!</definedName>
    <definedName name="ADJP1" localSheetId="18">'Template names'!#REF!</definedName>
    <definedName name="ADJP1" localSheetId="19">'Template names'!#REF!</definedName>
    <definedName name="ADJP1">'Template names'!#REF!</definedName>
    <definedName name="adjsum" localSheetId="1">'[1]Template names'!#REF!</definedName>
    <definedName name="adjsum" localSheetId="16">'Template names'!#REF!</definedName>
    <definedName name="adjsum" localSheetId="17">'Template names'!#REF!</definedName>
    <definedName name="adjsum" localSheetId="18">'Template names'!#REF!</definedName>
    <definedName name="adjsum" localSheetId="19">'Template names'!#REF!</definedName>
    <definedName name="adjsum">'Template names'!#REF!</definedName>
    <definedName name="ADJTB1" localSheetId="1">'[1]Template names'!#REF!</definedName>
    <definedName name="ADJTB1" localSheetId="16">'Template names'!#REF!</definedName>
    <definedName name="ADJTB1" localSheetId="17">'Template names'!#REF!</definedName>
    <definedName name="ADJTB1" localSheetId="18">'Template names'!#REF!</definedName>
    <definedName name="ADJTB1" localSheetId="19">'Template names'!#REF!</definedName>
    <definedName name="ADJTB1">'Template names'!#REF!</definedName>
    <definedName name="ADJXX" localSheetId="1">'[1]Template names'!#REF!</definedName>
    <definedName name="ADJXX" localSheetId="16">'Template names'!#REF!</definedName>
    <definedName name="ADJXX" localSheetId="17">'Template names'!#REF!</definedName>
    <definedName name="ADJXX" localSheetId="18">'Template names'!#REF!</definedName>
    <definedName name="ADJXX" localSheetId="19">'Template names'!#REF!</definedName>
    <definedName name="ADJXX">'Template names'!#REF!</definedName>
    <definedName name="assetsched" localSheetId="16">'Template names'!#REF!</definedName>
    <definedName name="assetsched" localSheetId="17">'Template names'!#REF!</definedName>
    <definedName name="assetsched" localSheetId="18">'Template names'!#REF!</definedName>
    <definedName name="assetsched" localSheetId="19">'Template names'!#REF!</definedName>
    <definedName name="assetsched">'Template names'!#REF!</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1">#REF!</definedName>
    <definedName name="balloon" localSheetId="16">#REF!</definedName>
    <definedName name="balloon" localSheetId="17">#REF!</definedName>
    <definedName name="balloon" localSheetId="18">#REF!</definedName>
    <definedName name="balloon" localSheetId="19">#REF!</definedName>
    <definedName name="balloon">#REF!</definedName>
    <definedName name="basedesc">'Template names'!$D$40:$D$40</definedName>
    <definedName name="baseindex" localSheetId="16">'Template names'!#REF!</definedName>
    <definedName name="baseindex" localSheetId="17">'Template names'!#REF!</definedName>
    <definedName name="baseindex" localSheetId="18">'Template names'!#REF!</definedName>
    <definedName name="baseindex" localSheetId="19">'Template names'!#REF!</definedName>
    <definedName name="baseindex">'Template names'!#REF!</definedName>
    <definedName name="Bus" localSheetId="1">#REF!</definedName>
    <definedName name="Bus" localSheetId="16">#REF!</definedName>
    <definedName name="Bus" localSheetId="17">#REF!</definedName>
    <definedName name="Bus" localSheetId="18">#REF!</definedName>
    <definedName name="Bus" localSheetId="19">#REF!</definedName>
    <definedName name="Bus">#REF!</definedName>
    <definedName name="Capex" localSheetId="18">'D3-Capex'!#REF!</definedName>
    <definedName name="Capex" localSheetId="19">'D3-Capex'!#REF!</definedName>
    <definedName name="Capex">'D3-Capex'!#REF!</definedName>
    <definedName name="capexfactor" localSheetId="1">#REF!</definedName>
    <definedName name="capexfactor" localSheetId="16">#REF!</definedName>
    <definedName name="capexfactor" localSheetId="17">#REF!</definedName>
    <definedName name="capexfactor" localSheetId="18">#REF!</definedName>
    <definedName name="capexfactor" localSheetId="19">#REF!</definedName>
    <definedName name="capexfactor">#REF!</definedName>
    <definedName name="capexlimit06">#REF!</definedName>
    <definedName name="capexlimit07">#REF!</definedName>
    <definedName name="capexlimit08">#REF!</definedName>
    <definedName name="capexlimit09">#REF!</definedName>
    <definedName name="capexrate04" localSheetId="1">#REF!</definedName>
    <definedName name="capexrate04" localSheetId="16">#REF!</definedName>
    <definedName name="capexrate04" localSheetId="17">#REF!</definedName>
    <definedName name="capexrate04" localSheetId="18">#REF!</definedName>
    <definedName name="capexrate04" localSheetId="19">#REF!</definedName>
    <definedName name="capexrate04">#REF!</definedName>
    <definedName name="capexrate05" localSheetId="1">#REF!</definedName>
    <definedName name="capexrate05" localSheetId="16">#REF!</definedName>
    <definedName name="capexrate05" localSheetId="17">#REF!</definedName>
    <definedName name="capexrate05" localSheetId="18">#REF!</definedName>
    <definedName name="capexrate05" localSheetId="19">#REF!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 localSheetId="1">#REF!</definedName>
    <definedName name="Capytd">#REF!</definedName>
    <definedName name="Cash1">'Template names'!$B$72</definedName>
    <definedName name="Cash2">'Template names'!$B$73</definedName>
    <definedName name="cfactor08">#REF!</definedName>
    <definedName name="cfactor09">#REF!</definedName>
    <definedName name="cfactor10">#REF!</definedName>
    <definedName name="cfactor11">#REF!</definedName>
    <definedName name="cfactor12">#REF!</definedName>
    <definedName name="cfactor13">#REF!</definedName>
    <definedName name="Charges1" localSheetId="16">'Template names'!#REF!</definedName>
    <definedName name="Charges1" localSheetId="17">'Template names'!#REF!</definedName>
    <definedName name="Charges1" localSheetId="18">'Template names'!#REF!</definedName>
    <definedName name="Charges1" localSheetId="19">'Template names'!#REF!</definedName>
    <definedName name="Charges1">'Template names'!#REF!</definedName>
    <definedName name="choosebase" localSheetId="16">'Template names'!#REF!</definedName>
    <definedName name="choosebase" localSheetId="17">'Template names'!#REF!</definedName>
    <definedName name="choosebase" localSheetId="18">'Template names'!#REF!</definedName>
    <definedName name="choosebase" localSheetId="19">'Template names'!#REF!</definedName>
    <definedName name="choosebase">'Template names'!#REF!</definedName>
    <definedName name="Consolques" localSheetId="16">'Template names'!#REF!</definedName>
    <definedName name="Consolques" localSheetId="17">'Template names'!#REF!</definedName>
    <definedName name="Consolques" localSheetId="18">'Template names'!#REF!</definedName>
    <definedName name="Consolques" localSheetId="19">'Template names'!#REF!</definedName>
    <definedName name="Consolques">'Template names'!#REF!</definedName>
    <definedName name="cpix04" localSheetId="1">#REF!</definedName>
    <definedName name="cpix04" localSheetId="16">#REF!</definedName>
    <definedName name="cpix04" localSheetId="17">#REF!</definedName>
    <definedName name="cpix04" localSheetId="18">#REF!</definedName>
    <definedName name="cpix04" localSheetId="19">#REF!</definedName>
    <definedName name="cpix04">#REF!</definedName>
    <definedName name="cpix05" localSheetId="1">#REF!</definedName>
    <definedName name="cpix05" localSheetId="16">#REF!</definedName>
    <definedName name="cpix05" localSheetId="17">#REF!</definedName>
    <definedName name="cpix05" localSheetId="18">#REF!</definedName>
    <definedName name="cpix05" localSheetId="19">#REF!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1">#REF!</definedName>
    <definedName name="credit06" localSheetId="16">#REF!</definedName>
    <definedName name="credit06" localSheetId="17">#REF!</definedName>
    <definedName name="credit06" localSheetId="18">#REF!</definedName>
    <definedName name="credit06" localSheetId="19">#REF!</definedName>
    <definedName name="credit06">#REF!</definedName>
    <definedName name="date">[3]Data!$B$2</definedName>
    <definedName name="debt03" localSheetId="1">#REF!</definedName>
    <definedName name="debt03" localSheetId="16">#REF!</definedName>
    <definedName name="debt03" localSheetId="17">#REF!</definedName>
    <definedName name="debt03" localSheetId="18">#REF!</definedName>
    <definedName name="debt03" localSheetId="19">#REF!</definedName>
    <definedName name="debt03">#REF!</definedName>
    <definedName name="debt04" localSheetId="1">#REF!</definedName>
    <definedName name="debt04" localSheetId="16">#REF!</definedName>
    <definedName name="debt04" localSheetId="17">#REF!</definedName>
    <definedName name="debt04" localSheetId="18">#REF!</definedName>
    <definedName name="debt04" localSheetId="19">#REF!</definedName>
    <definedName name="debt04">#REF!</definedName>
    <definedName name="debt05" localSheetId="1">#REF!</definedName>
    <definedName name="debt05" localSheetId="16">#REF!</definedName>
    <definedName name="debt05" localSheetId="17">#REF!</definedName>
    <definedName name="debt05" localSheetId="18">#REF!</definedName>
    <definedName name="debt05" localSheetId="19">#REF!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1">#REF!</definedName>
    <definedName name="debtrev04" localSheetId="16">#REF!</definedName>
    <definedName name="debtrev04" localSheetId="17">#REF!</definedName>
    <definedName name="debtrev04" localSheetId="18">#REF!</definedName>
    <definedName name="debtrev04" localSheetId="19">#REF!</definedName>
    <definedName name="debtrev04">#REF!</definedName>
    <definedName name="debtrev05" localSheetId="1">#REF!</definedName>
    <definedName name="debtrev05" localSheetId="16">#REF!</definedName>
    <definedName name="debtrev05" localSheetId="17">#REF!</definedName>
    <definedName name="debtrev05" localSheetId="18">#REF!</definedName>
    <definedName name="debtrev05" localSheetId="19">#REF!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'Template names'!$B$31</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1">#REF!</definedName>
    <definedName name="ecchoice" localSheetId="16">#REF!</definedName>
    <definedName name="ecchoice" localSheetId="17">#REF!</definedName>
    <definedName name="ecchoice" localSheetId="18">#REF!</definedName>
    <definedName name="ecchoice" localSheetId="19">#REF!</definedName>
    <definedName name="ecchoice">#REF!</definedName>
    <definedName name="elec05" localSheetId="1">#REF!</definedName>
    <definedName name="elec05" localSheetId="16">#REF!</definedName>
    <definedName name="elec05" localSheetId="17">#REF!</definedName>
    <definedName name="elec05" localSheetId="18">#REF!</definedName>
    <definedName name="elec05" localSheetId="19">#REF!</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ntity">'Template names'!$B$76</definedName>
    <definedName name="entityshort">'Template names'!$B$77</definedName>
    <definedName name="EOYcapex">#REF!</definedName>
    <definedName name="eskom07" localSheetId="1">#REF!</definedName>
    <definedName name="eskom07" localSheetId="16">#REF!</definedName>
    <definedName name="eskom07" localSheetId="17">#REF!</definedName>
    <definedName name="eskom07" localSheetId="18">#REF!</definedName>
    <definedName name="eskom07" localSheetId="19">#REF!</definedName>
    <definedName name="eskom07">#REF!</definedName>
    <definedName name="fdil">'Template names'!$B$32</definedName>
    <definedName name="FinYear" localSheetId="1">Instructions!$X$36</definedName>
    <definedName name="finyear">[3]Data!$B$4</definedName>
    <definedName name="finyears" localSheetId="1">#REF!</definedName>
    <definedName name="finyears" localSheetId="16">#REF!</definedName>
    <definedName name="finyears" localSheetId="17">#REF!</definedName>
    <definedName name="finyears" localSheetId="18">#REF!</definedName>
    <definedName name="finyears" localSheetId="19">#REF!</definedName>
    <definedName name="finyears">#REF!</definedName>
    <definedName name="Fundnote" localSheetId="16">'Template names'!#REF!</definedName>
    <definedName name="Fundnote" localSheetId="17">'Template names'!#REF!</definedName>
    <definedName name="Fundnote" localSheetId="18">'Template names'!#REF!</definedName>
    <definedName name="Fundnote" localSheetId="19">'Template names'!#REF!</definedName>
    <definedName name="Fundnote">'Template names'!#REF!</definedName>
    <definedName name="Head1">'Template names'!$B$2</definedName>
    <definedName name="Head10">'Template names'!$B$17</definedName>
    <definedName name="Head11">'Template names'!$B$18</definedName>
    <definedName name="Head12">'Template names'!$B$19</definedName>
    <definedName name="Head13">'Template names'!$B$20</definedName>
    <definedName name="Head14">'Template names'!$B$21</definedName>
    <definedName name="Head15">'Template names'!$B$22</definedName>
    <definedName name="Head16">'Template names'!$B$23</definedName>
    <definedName name="Head17">'Template names'!$B$24</definedName>
    <definedName name="Head18">'Template names'!$B$25</definedName>
    <definedName name="Head19">'Template names'!$B$26</definedName>
    <definedName name="head1A">'Template names'!$B$3</definedName>
    <definedName name="head1b">'Template names'!$B$4</definedName>
    <definedName name="Head2">'Template names'!$B$5</definedName>
    <definedName name="Head20">'Template names'!$B$27</definedName>
    <definedName name="Head21">'Template names'!$B$28</definedName>
    <definedName name="Head22">'Template names'!$B$29</definedName>
    <definedName name="Head23">'Template names'!$B$30</definedName>
    <definedName name="Head24">'Template names'!$B$31</definedName>
    <definedName name="head27">'Template names'!$B$34</definedName>
    <definedName name="head27a">'Template names'!$B$35</definedName>
    <definedName name="Head29">'Template names'!$B$37</definedName>
    <definedName name="Head2A">'Template names'!$B$6</definedName>
    <definedName name="Head3">'Template names'!$B$7</definedName>
    <definedName name="Head30">'Template names'!$B$38</definedName>
    <definedName name="Head31">'Template names'!$B$39</definedName>
    <definedName name="Head32">'Template names'!$B$40</definedName>
    <definedName name="Head33">'Template names'!$B$41</definedName>
    <definedName name="Head34">'Template names'!$B$42</definedName>
    <definedName name="Head35">'Template names'!$B$43</definedName>
    <definedName name="Head36">'Template names'!$B$44</definedName>
    <definedName name="Head37">'Template names'!$B$45</definedName>
    <definedName name="Head38">'Template names'!$B$46</definedName>
    <definedName name="Head39">'Template names'!$B$47</definedName>
    <definedName name="Head3a">'Template names'!$B$8</definedName>
    <definedName name="Head4">'Template names'!$B$9</definedName>
    <definedName name="Head40">'Template names'!$B$48</definedName>
    <definedName name="Head41">'Template names'!$B$49</definedName>
    <definedName name="Head42">'Template names'!$B$50</definedName>
    <definedName name="Head43">'Template names'!$B$51</definedName>
    <definedName name="Head44">'Template names'!$B$52</definedName>
    <definedName name="Head45">'Template names'!$B$53</definedName>
    <definedName name="head46">'Template names'!$B$54</definedName>
    <definedName name="Head47">'Template names'!$B$55</definedName>
    <definedName name="Head48">'Template names'!$B$56</definedName>
    <definedName name="Head49">'Template names'!$B$57</definedName>
    <definedName name="Head5">'Template names'!$B$10</definedName>
    <definedName name="Head50">'Template names'!$B$58</definedName>
    <definedName name="Head51">'Template names'!$B$59</definedName>
    <definedName name="Head52">'Template names'!$B$60</definedName>
    <definedName name="Head53">'Template names'!$B$61</definedName>
    <definedName name="Head54">'Template names'!$B$62</definedName>
    <definedName name="Head55">'Template names'!$B$63</definedName>
    <definedName name="Head56">'Template names'!$B$64</definedName>
    <definedName name="Head57">'Template names'!$B$65</definedName>
    <definedName name="Head58">'Template names'!$B$66</definedName>
    <definedName name="Head59">'Template names'!$B$67</definedName>
    <definedName name="Head5A">'Template names'!$B$11</definedName>
    <definedName name="Head5b">'Template names'!$B$12</definedName>
    <definedName name="Head6">'Template names'!$B$13</definedName>
    <definedName name="Head7">'Template names'!$B$14</definedName>
    <definedName name="Head8">'Template names'!$B$15</definedName>
    <definedName name="Head9">'Template names'!$B$16</definedName>
    <definedName name="Headings">'Lookup and lists'!$A$1:$O$24</definedName>
    <definedName name="hhgr05" localSheetId="1">#REF!</definedName>
    <definedName name="hhgr05" localSheetId="16">#REF!</definedName>
    <definedName name="hhgr05" localSheetId="17">#REF!</definedName>
    <definedName name="hhgr05" localSheetId="18">#REF!</definedName>
    <definedName name="hhgr05" localSheetId="19">#REF!</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1">#REF!</definedName>
    <definedName name="incentive" localSheetId="16">#REF!</definedName>
    <definedName name="incentive" localSheetId="17">#REF!</definedName>
    <definedName name="incentive" localSheetId="18">#REF!</definedName>
    <definedName name="incentive" localSheetId="19">#REF!</definedName>
    <definedName name="incentive">#REF!</definedName>
    <definedName name="infra">#REF!</definedName>
    <definedName name="Infrarenewal">#REF!</definedName>
    <definedName name="infrastratnum">#REF!</definedName>
    <definedName name="Instructions" localSheetId="1">#REF!</definedName>
    <definedName name="Instructions">#REF!</definedName>
    <definedName name="inventory" localSheetId="1">#REF!</definedName>
    <definedName name="inventory" localSheetId="16">#REF!</definedName>
    <definedName name="inventory" localSheetId="17">#REF!</definedName>
    <definedName name="inventory" localSheetId="18">#REF!</definedName>
    <definedName name="inventory" localSheetId="19">#REF!</definedName>
    <definedName name="inventory">#REF!</definedName>
    <definedName name="longterm" localSheetId="1">#REF!</definedName>
    <definedName name="longterm" localSheetId="16">#REF!</definedName>
    <definedName name="longterm" localSheetId="17">#REF!</definedName>
    <definedName name="longterm" localSheetId="18">#REF!</definedName>
    <definedName name="longterm" localSheetId="19">#REF!</definedName>
    <definedName name="longterm">#REF!</definedName>
    <definedName name="MEAB1" localSheetId="1">'[1]Template names'!#REF!</definedName>
    <definedName name="MEAB1" localSheetId="16">'Template names'!#REF!</definedName>
    <definedName name="MEAB1" localSheetId="17">'Template names'!#REF!</definedName>
    <definedName name="MEAB1" localSheetId="18">'Template names'!#REF!</definedName>
    <definedName name="MEAB1" localSheetId="19">'Template names'!#REF!</definedName>
    <definedName name="MEAB1">'Template names'!#REF!</definedName>
    <definedName name="MEAB10" localSheetId="1">'[1]Template names'!#REF!</definedName>
    <definedName name="MEAB10" localSheetId="16">'Template names'!#REF!</definedName>
    <definedName name="MEAB10" localSheetId="17">'Template names'!#REF!</definedName>
    <definedName name="MEAB10" localSheetId="18">'Template names'!#REF!</definedName>
    <definedName name="MEAB10" localSheetId="19">'Template names'!#REF!</definedName>
    <definedName name="MEAB10">'Template names'!#REF!</definedName>
    <definedName name="MEAB11" localSheetId="1">'[1]Template names'!#REF!</definedName>
    <definedName name="MEAB11" localSheetId="16">'Template names'!#REF!</definedName>
    <definedName name="MEAB11" localSheetId="17">'Template names'!#REF!</definedName>
    <definedName name="MEAB11" localSheetId="18">'Template names'!#REF!</definedName>
    <definedName name="MEAB11" localSheetId="19">'Template names'!#REF!</definedName>
    <definedName name="MEAB11">'Template names'!#REF!</definedName>
    <definedName name="MEAB2" localSheetId="1">'[1]Template names'!#REF!</definedName>
    <definedName name="MEAB2" localSheetId="16">'Template names'!#REF!</definedName>
    <definedName name="MEAB2" localSheetId="17">'Template names'!#REF!</definedName>
    <definedName name="MEAB2" localSheetId="18">'Template names'!#REF!</definedName>
    <definedName name="MEAB2" localSheetId="19">'Template names'!#REF!</definedName>
    <definedName name="MEAB2">'Template names'!#REF!</definedName>
    <definedName name="MEAB3" localSheetId="1">'[1]Template names'!#REF!</definedName>
    <definedName name="MEAB3" localSheetId="16">'Template names'!#REF!</definedName>
    <definedName name="MEAB3" localSheetId="17">'Template names'!#REF!</definedName>
    <definedName name="MEAB3" localSheetId="18">'Template names'!#REF!</definedName>
    <definedName name="MEAB3" localSheetId="19">'Template names'!#REF!</definedName>
    <definedName name="MEAB3">'Template names'!#REF!</definedName>
    <definedName name="MEAB4" localSheetId="1">'[1]Template names'!#REF!</definedName>
    <definedName name="MEAB4" localSheetId="16">'Template names'!#REF!</definedName>
    <definedName name="MEAB4" localSheetId="17">'Template names'!#REF!</definedName>
    <definedName name="MEAB4" localSheetId="18">'Template names'!#REF!</definedName>
    <definedName name="MEAB4" localSheetId="19">'Template names'!#REF!</definedName>
    <definedName name="MEAB4">'Template names'!#REF!</definedName>
    <definedName name="MEAB5" localSheetId="1">'[1]Template names'!#REF!</definedName>
    <definedName name="MEAB5" localSheetId="16">'Template names'!#REF!</definedName>
    <definedName name="MEAB5" localSheetId="17">'Template names'!#REF!</definedName>
    <definedName name="MEAB5" localSheetId="18">'Template names'!#REF!</definedName>
    <definedName name="MEAB5" localSheetId="19">'Template names'!#REF!</definedName>
    <definedName name="MEAB5">'Template names'!#REF!</definedName>
    <definedName name="MEAB6" localSheetId="1">'[1]Template names'!#REF!</definedName>
    <definedName name="MEAB6" localSheetId="16">'Template names'!#REF!</definedName>
    <definedName name="MEAB6" localSheetId="17">'Template names'!#REF!</definedName>
    <definedName name="MEAB6" localSheetId="18">'Template names'!#REF!</definedName>
    <definedName name="MEAB6" localSheetId="19">'Template names'!#REF!</definedName>
    <definedName name="MEAB6">'Template names'!#REF!</definedName>
    <definedName name="MEAB7" localSheetId="1">'[1]Template names'!#REF!</definedName>
    <definedName name="MEAB7" localSheetId="16">'Template names'!#REF!</definedName>
    <definedName name="MEAB7" localSheetId="17">'Template names'!#REF!</definedName>
    <definedName name="MEAB7" localSheetId="18">'Template names'!#REF!</definedName>
    <definedName name="MEAB7" localSheetId="19">'Template names'!#REF!</definedName>
    <definedName name="MEAB7">'Template names'!#REF!</definedName>
    <definedName name="MEAB8" localSheetId="1">'[1]Template names'!#REF!</definedName>
    <definedName name="MEAB8" localSheetId="16">'Template names'!#REF!</definedName>
    <definedName name="MEAB8" localSheetId="17">'Template names'!#REF!</definedName>
    <definedName name="MEAB8" localSheetId="18">'Template names'!#REF!</definedName>
    <definedName name="MEAB8" localSheetId="19">'Template names'!#REF!</definedName>
    <definedName name="MEAB8">'Template names'!#REF!</definedName>
    <definedName name="MEAB9" localSheetId="1">'[1]Template names'!#REF!</definedName>
    <definedName name="MEAB9" localSheetId="16">'Template names'!#REF!</definedName>
    <definedName name="MEAB9" localSheetId="17">'Template names'!#REF!</definedName>
    <definedName name="MEAB9" localSheetId="18">'Template names'!#REF!</definedName>
    <definedName name="MEAB9" localSheetId="19">'Template names'!#REF!</definedName>
    <definedName name="MEAB9">'Template names'!#REF!</definedName>
    <definedName name="MEABsum" localSheetId="1">'[1]Template names'!#REF!</definedName>
    <definedName name="MEABsum" localSheetId="16">'Template names'!#REF!</definedName>
    <definedName name="MEABsum" localSheetId="17">'Template names'!#REF!</definedName>
    <definedName name="MEABsum" localSheetId="18">'Template names'!#REF!</definedName>
    <definedName name="MEABsum" localSheetId="19">'Template names'!#REF!</definedName>
    <definedName name="MEABsum">'Template names'!#REF!</definedName>
    <definedName name="MEB1A" localSheetId="1">'[1]Template names'!#REF!</definedName>
    <definedName name="MEB1A">'Template names'!$B$82</definedName>
    <definedName name="MEB5a">'Template names'!$B$89</definedName>
    <definedName name="MEB5b">'Template names'!$B$90</definedName>
    <definedName name="MEB9a">'Template names'!$B$92</definedName>
    <definedName name="MEB9b">'Template names'!$B$93</definedName>
    <definedName name="MEB9c">'Template names'!$B$94</definedName>
    <definedName name="MEB9d">'Template names'!$B$95</definedName>
    <definedName name="MEB9e">'Template names'!$B$96</definedName>
    <definedName name="MEBsum" localSheetId="1">'[1]Template names'!#REF!</definedName>
    <definedName name="MEBsum">'Template names'!$B$80</definedName>
    <definedName name="MERsum" localSheetId="1">'[1]Template names'!#REF!</definedName>
    <definedName name="MERsum" localSheetId="16">'Template names'!#REF!</definedName>
    <definedName name="MERsum" localSheetId="17">'Template names'!#REF!</definedName>
    <definedName name="MERsum" localSheetId="18">'Template names'!#REF!</definedName>
    <definedName name="MERsum" localSheetId="19">'Template names'!#REF!</definedName>
    <definedName name="MERsum">'Template names'!#REF!</definedName>
    <definedName name="month">[3]Data!$B$1</definedName>
    <definedName name="MTREF" localSheetId="1">Instructions!$X$34</definedName>
    <definedName name="MTREF">Instructions!$X$34</definedName>
    <definedName name="muni" localSheetId="1">'[1]Template names'!$B$93</definedName>
    <definedName name="muni">'Template names'!$B$97</definedName>
    <definedName name="MuniEntities">'[1]Template names'!$B$94</definedName>
    <definedName name="MuniType">'[1]Template names'!$D$94</definedName>
    <definedName name="nersa07" localSheetId="1">#REF!</definedName>
    <definedName name="nersa07" localSheetId="16">#REF!</definedName>
    <definedName name="nersa07" localSheetId="17">#REF!</definedName>
    <definedName name="nersa07" localSheetId="18">#REF!</definedName>
    <definedName name="nersa07" localSheetId="19">#REF!</definedName>
    <definedName name="nersa07">#REF!</definedName>
    <definedName name="nersa08" localSheetId="1">#REF!</definedName>
    <definedName name="nersa08" localSheetId="16">#REF!</definedName>
    <definedName name="nersa08" localSheetId="17">#REF!</definedName>
    <definedName name="nersa08" localSheetId="18">#REF!</definedName>
    <definedName name="nersa08" localSheetId="19">#REF!</definedName>
    <definedName name="nersa08">#REF!</definedName>
    <definedName name="nethhgr05" localSheetId="1">#REF!</definedName>
    <definedName name="nethhgr05" localSheetId="16">#REF!</definedName>
    <definedName name="nethhgr05" localSheetId="17">#REF!</definedName>
    <definedName name="nethhgr05" localSheetId="18">#REF!</definedName>
    <definedName name="nethhgr05" localSheetId="19">#REF!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ewTable25" localSheetId="16">'Template names'!#REF!</definedName>
    <definedName name="newTable25" localSheetId="17">'Template names'!#REF!</definedName>
    <definedName name="newTable25" localSheetId="18">'Template names'!#REF!</definedName>
    <definedName name="newTable25" localSheetId="19">'Template names'!#REF!</definedName>
    <definedName name="newTable25">'Template names'!#REF!</definedName>
    <definedName name="ninety" localSheetId="1">#REF!</definedName>
    <definedName name="ninety">#REF!</definedName>
    <definedName name="Note20">[4]Names!$B$89</definedName>
    <definedName name="poorgr06">#REF!</definedName>
    <definedName name="_xlnm.Print_Area" localSheetId="4">'D1-Sum'!$A$1:$J$46</definedName>
    <definedName name="_xlnm.Print_Area" localSheetId="5">'D2-FinPerf'!$A$1:$K$50</definedName>
    <definedName name="_xlnm.Print_Area" localSheetId="7">'D4-FinPos'!$A$1:$K$53</definedName>
    <definedName name="_xlnm.Print_Area" localSheetId="8">'D5-CFlow'!$A$1:$K$46</definedName>
    <definedName name="_xlnm.Print_Area" localSheetId="1">Instructions!$A$1:$M$47</definedName>
    <definedName name="_xlnm.Print_Area" localSheetId="9">'SD1'!$A$1:$K$36</definedName>
    <definedName name="_xlnm.Print_Area" localSheetId="22">'SD10'!$A$1:$O$23</definedName>
    <definedName name="_xlnm.Print_Area" localSheetId="23">'SD11'!$A$1:$F$24</definedName>
    <definedName name="_xlnm.Print_Area" localSheetId="10">'SD2'!$A$1:$L$33</definedName>
    <definedName name="_xlnm.Print_Area" localSheetId="11">'SD3'!$A$1:$I$26</definedName>
    <definedName name="_xlnm.Print_Area" localSheetId="12">'SD4'!$A$1:$K$57</definedName>
    <definedName name="_xlnm.Print_Area" localSheetId="14">'SD6'!$A$1:$Q$62</definedName>
    <definedName name="_xlnm.Print_Area" localSheetId="15">SD7a!$A$1:$K$167</definedName>
    <definedName name="_xlnm.Print_Area" localSheetId="16">SD7b!$A$1:$K$167</definedName>
    <definedName name="_xlnm.Print_Area" localSheetId="17">SD7c!$A$1:$K$167</definedName>
    <definedName name="_xlnm.Print_Area" localSheetId="18">SD7d!$A$1:$K$167</definedName>
    <definedName name="_xlnm.Print_Area" localSheetId="19">SD7e!$A$1:$K$167</definedName>
    <definedName name="_xlnm.Print_Area" localSheetId="20">'SD8'!$A$1:$I$34</definedName>
    <definedName name="_xlnm.Print_Area" localSheetId="21">'SD9'!$A$1:$O$24</definedName>
    <definedName name="proptax07">#REF!</definedName>
    <definedName name="Rand000" localSheetId="1">#REF!</definedName>
    <definedName name="Rand000" localSheetId="16">#REF!</definedName>
    <definedName name="Rand000" localSheetId="17">#REF!</definedName>
    <definedName name="Rand000" localSheetId="18">#REF!</definedName>
    <definedName name="Rand000" localSheetId="19">#REF!</definedName>
    <definedName name="Rand000">#REF!</definedName>
    <definedName name="RandM">'Template names'!$B$74</definedName>
    <definedName name="Rates1" localSheetId="16">'Template names'!#REF!</definedName>
    <definedName name="Rates1" localSheetId="17">'Template names'!#REF!</definedName>
    <definedName name="Rates1" localSheetId="18">'Template names'!#REF!</definedName>
    <definedName name="Rates1" localSheetId="19">'Template names'!#REF!</definedName>
    <definedName name="Rates1">'Template names'!#REF!</definedName>
    <definedName name="Rates2" localSheetId="16">'Template names'!#REF!</definedName>
    <definedName name="Rates2" localSheetId="17">'Template names'!#REF!</definedName>
    <definedName name="Rates2" localSheetId="18">'Template names'!#REF!</definedName>
    <definedName name="Rates2" localSheetId="19">'Template names'!#REF!</definedName>
    <definedName name="Rates2">'Template names'!#REF!</definedName>
    <definedName name="Rates3" localSheetId="16">'Template names'!#REF!</definedName>
    <definedName name="Rates3" localSheetId="17">'Template names'!#REF!</definedName>
    <definedName name="Rates3" localSheetId="18">'Template names'!#REF!</definedName>
    <definedName name="Rates3" localSheetId="19">'Template names'!#REF!</definedName>
    <definedName name="Rates3">'Template names'!#REF!</definedName>
    <definedName name="REDHHGR06" localSheetId="1">#REF!</definedName>
    <definedName name="REDHHGR06" localSheetId="16">#REF!</definedName>
    <definedName name="REDHHGR06" localSheetId="17">#REF!</definedName>
    <definedName name="REDHHGR06" localSheetId="18">#REF!</definedName>
    <definedName name="REDHHGR06" localSheetId="19">#REF!</definedName>
    <definedName name="REDHHGR06">#REF!</definedName>
    <definedName name="redhhgr07" localSheetId="1">#REF!</definedName>
    <definedName name="redhhgr07" localSheetId="16">#REF!</definedName>
    <definedName name="redhhgr07" localSheetId="17">#REF!</definedName>
    <definedName name="redhhgr07" localSheetId="18">#REF!</definedName>
    <definedName name="redhhgr07" localSheetId="19">#REF!</definedName>
    <definedName name="redhhgr07">#REF!</definedName>
    <definedName name="redrev06" localSheetId="1">#REF!</definedName>
    <definedName name="redrev06" localSheetId="16">#REF!</definedName>
    <definedName name="redrev06" localSheetId="17">#REF!</definedName>
    <definedName name="redrev06" localSheetId="18">#REF!</definedName>
    <definedName name="redrev06" localSheetId="19">#REF!</definedName>
    <definedName name="redrev06">#REF!</definedName>
    <definedName name="redrev07" localSheetId="1">#REF!</definedName>
    <definedName name="redrev07" localSheetId="16">#REF!</definedName>
    <definedName name="redrev07" localSheetId="17">#REF!</definedName>
    <definedName name="redrev07" localSheetId="18">#REF!</definedName>
    <definedName name="redrev07" localSheetId="19">#REF!</definedName>
    <definedName name="redrev07">#REF!</definedName>
    <definedName name="Reds" localSheetId="1">#REF!</definedName>
    <definedName name="Reds" localSheetId="16">#REF!</definedName>
    <definedName name="Reds" localSheetId="17">#REF!</definedName>
    <definedName name="Reds" localSheetId="18">#REF!</definedName>
    <definedName name="Reds" localSheetId="19">#REF!</definedName>
    <definedName name="Reds">#REF!</definedName>
    <definedName name="renewyears">#REF!</definedName>
    <definedName name="Request0506" localSheetId="1">#REF!</definedName>
    <definedName name="Request0506" localSheetId="16">#REF!</definedName>
    <definedName name="Request0506" localSheetId="17">#REF!</definedName>
    <definedName name="Request0506" localSheetId="18">#REF!</definedName>
    <definedName name="Request0506" localSheetId="19">#REF!</definedName>
    <definedName name="Request0506">#REF!</definedName>
    <definedName name="resiprop">#REF!</definedName>
    <definedName name="result">'Template names'!$B$36</definedName>
    <definedName name="rmcRED06" localSheetId="1">#REF!</definedName>
    <definedName name="rmcRED06" localSheetId="16">#REF!</definedName>
    <definedName name="rmcRED06" localSheetId="17">#REF!</definedName>
    <definedName name="rmcRED06" localSheetId="18">#REF!</definedName>
    <definedName name="rmcRED06" localSheetId="19">#REF!</definedName>
    <definedName name="rmcRED06">#REF!</definedName>
    <definedName name="rmcred07" localSheetId="1">#REF!</definedName>
    <definedName name="rmcred07" localSheetId="16">#REF!</definedName>
    <definedName name="rmcred07" localSheetId="17">#REF!</definedName>
    <definedName name="rmcred07" localSheetId="18">#REF!</definedName>
    <definedName name="rmcred07" localSheetId="19">#REF!</definedName>
    <definedName name="rmcred07">#REF!</definedName>
    <definedName name="roundfactor" localSheetId="1">#REF!</definedName>
    <definedName name="roundfactor" localSheetId="16">#REF!</definedName>
    <definedName name="roundfactor" localSheetId="17">#REF!</definedName>
    <definedName name="roundfactor" localSheetId="18">#REF!</definedName>
    <definedName name="roundfactor" localSheetId="19">#REF!</definedName>
    <definedName name="roundfactor">#REF!</definedName>
    <definedName name="S71A" localSheetId="1">'[1]Template names'!#REF!</definedName>
    <definedName name="S71A" localSheetId="16">'Template names'!#REF!</definedName>
    <definedName name="S71A" localSheetId="17">'Template names'!#REF!</definedName>
    <definedName name="S71A" localSheetId="18">'Template names'!#REF!</definedName>
    <definedName name="S71A" localSheetId="19">'Template names'!#REF!</definedName>
    <definedName name="S71A">'Template names'!#REF!</definedName>
    <definedName name="S71B" localSheetId="1">'[1]Template names'!#REF!</definedName>
    <definedName name="S71B" localSheetId="16">'Template names'!#REF!</definedName>
    <definedName name="S71B" localSheetId="17">'Template names'!#REF!</definedName>
    <definedName name="S71B" localSheetId="18">'Template names'!#REF!</definedName>
    <definedName name="S71B" localSheetId="19">'Template names'!#REF!</definedName>
    <definedName name="S71B">'Template names'!#REF!</definedName>
    <definedName name="s71B8" localSheetId="1">'[1]Template names'!#REF!</definedName>
    <definedName name="s71B8" localSheetId="16">'Template names'!#REF!</definedName>
    <definedName name="s71B8" localSheetId="17">'Template names'!#REF!</definedName>
    <definedName name="s71B8" localSheetId="18">'Template names'!#REF!</definedName>
    <definedName name="s71B8" localSheetId="19">'Template names'!#REF!</definedName>
    <definedName name="s71B8">'Template names'!#REF!</definedName>
    <definedName name="s71B9" localSheetId="1">'[1]Template names'!#REF!</definedName>
    <definedName name="s71B9" localSheetId="16">'Template names'!#REF!</definedName>
    <definedName name="s71B9" localSheetId="17">'Template names'!#REF!</definedName>
    <definedName name="s71B9" localSheetId="18">'Template names'!#REF!</definedName>
    <definedName name="s71B9" localSheetId="19">'Template names'!#REF!</definedName>
    <definedName name="s71B9">'Template names'!#REF!</definedName>
    <definedName name="S71C" localSheetId="1">'[1]Template names'!#REF!</definedName>
    <definedName name="S71C" localSheetId="16">'Template names'!#REF!</definedName>
    <definedName name="S71C" localSheetId="17">'Template names'!#REF!</definedName>
    <definedName name="S71C" localSheetId="18">'Template names'!#REF!</definedName>
    <definedName name="S71C" localSheetId="19">'Template names'!#REF!</definedName>
    <definedName name="S71C">'Template names'!#REF!</definedName>
    <definedName name="S71D" localSheetId="1">'[1]Template names'!#REF!</definedName>
    <definedName name="S71D" localSheetId="16">'Template names'!#REF!</definedName>
    <definedName name="S71D" localSheetId="17">'Template names'!#REF!</definedName>
    <definedName name="S71D" localSheetId="18">'Template names'!#REF!</definedName>
    <definedName name="S71D" localSheetId="19">'Template names'!#REF!</definedName>
    <definedName name="S71D">'Template names'!#REF!</definedName>
    <definedName name="S71E" localSheetId="1">'[1]Template names'!#REF!</definedName>
    <definedName name="S71E" localSheetId="16">'Template names'!#REF!</definedName>
    <definedName name="S71E" localSheetId="17">'Template names'!#REF!</definedName>
    <definedName name="S71E" localSheetId="18">'Template names'!#REF!</definedName>
    <definedName name="S71E" localSheetId="19">'Template names'!#REF!</definedName>
    <definedName name="S71E">'Template names'!#REF!</definedName>
    <definedName name="S71F" localSheetId="1">'[1]Template names'!#REF!</definedName>
    <definedName name="S71F" localSheetId="16">'Template names'!#REF!</definedName>
    <definedName name="S71F" localSheetId="17">'Template names'!#REF!</definedName>
    <definedName name="S71F" localSheetId="18">'Template names'!#REF!</definedName>
    <definedName name="S71F" localSheetId="19">'Template names'!#REF!</definedName>
    <definedName name="S71F">'Template names'!#REF!</definedName>
    <definedName name="S71G" localSheetId="1">'[1]Template names'!#REF!</definedName>
    <definedName name="S71G" localSheetId="16">'Template names'!#REF!</definedName>
    <definedName name="S71G" localSheetId="17">'Template names'!#REF!</definedName>
    <definedName name="S71G" localSheetId="18">'Template names'!#REF!</definedName>
    <definedName name="S71G" localSheetId="19">'Template names'!#REF!</definedName>
    <definedName name="S71G">'Template names'!#REF!</definedName>
    <definedName name="S71H" localSheetId="1">'[1]Template names'!#REF!</definedName>
    <definedName name="S71H" localSheetId="16">'Template names'!#REF!</definedName>
    <definedName name="S71H" localSheetId="17">'Template names'!#REF!</definedName>
    <definedName name="S71H" localSheetId="18">'Template names'!#REF!</definedName>
    <definedName name="S71H" localSheetId="19">'Template names'!#REF!</definedName>
    <definedName name="S71H">'Template names'!#REF!</definedName>
    <definedName name="S71I" localSheetId="1">'[1]Template names'!#REF!</definedName>
    <definedName name="S71I" localSheetId="16">'Template names'!#REF!</definedName>
    <definedName name="S71I" localSheetId="17">'Template names'!#REF!</definedName>
    <definedName name="S71I" localSheetId="18">'Template names'!#REF!</definedName>
    <definedName name="S71I" localSheetId="19">'Template names'!#REF!</definedName>
    <definedName name="S71I">'Template names'!#REF!</definedName>
    <definedName name="S71J" localSheetId="1">'[1]Template names'!#REF!</definedName>
    <definedName name="S71J" localSheetId="16">'Template names'!#REF!</definedName>
    <definedName name="S71J" localSheetId="17">'Template names'!#REF!</definedName>
    <definedName name="S71J" localSheetId="18">'Template names'!#REF!</definedName>
    <definedName name="S71J" localSheetId="19">'Template names'!#REF!</definedName>
    <definedName name="S71J">'Template names'!#REF!</definedName>
    <definedName name="S71K" localSheetId="1">'[1]Template names'!#REF!</definedName>
    <definedName name="S71K" localSheetId="16">'Template names'!#REF!</definedName>
    <definedName name="S71K" localSheetId="17">'Template names'!#REF!</definedName>
    <definedName name="S71K" localSheetId="18">'Template names'!#REF!</definedName>
    <definedName name="S71K" localSheetId="19">'Template names'!#REF!</definedName>
    <definedName name="S71K">'Template names'!#REF!</definedName>
    <definedName name="S71L" localSheetId="1">'[1]Template names'!#REF!</definedName>
    <definedName name="S71L" localSheetId="16">'Template names'!#REF!</definedName>
    <definedName name="S71L" localSheetId="17">'Template names'!#REF!</definedName>
    <definedName name="S71L" localSheetId="18">'Template names'!#REF!</definedName>
    <definedName name="S71L" localSheetId="19">'Template names'!#REF!</definedName>
    <definedName name="S71L">'Template names'!#REF!</definedName>
    <definedName name="S71M" localSheetId="1">'[1]Template names'!#REF!</definedName>
    <definedName name="S71M" localSheetId="16">'Template names'!#REF!</definedName>
    <definedName name="S71M" localSheetId="17">'Template names'!#REF!</definedName>
    <definedName name="S71M" localSheetId="18">'Template names'!#REF!</definedName>
    <definedName name="S71M" localSheetId="19">'Template names'!#REF!</definedName>
    <definedName name="S71M">'Template names'!#REF!</definedName>
    <definedName name="S71N" localSheetId="1">'[1]Template names'!#REF!</definedName>
    <definedName name="S71N" localSheetId="16">'Template names'!#REF!</definedName>
    <definedName name="S71N" localSheetId="17">'Template names'!#REF!</definedName>
    <definedName name="S71N" localSheetId="18">'Template names'!#REF!</definedName>
    <definedName name="S71N" localSheetId="19">'Template names'!#REF!</definedName>
    <definedName name="S71N">'Template names'!#REF!</definedName>
    <definedName name="S71O" localSheetId="1">'[1]Template names'!#REF!</definedName>
    <definedName name="S71O" localSheetId="16">'Template names'!#REF!</definedName>
    <definedName name="S71O" localSheetId="17">'Template names'!#REF!</definedName>
    <definedName name="S71O" localSheetId="18">'Template names'!#REF!</definedName>
    <definedName name="S71O" localSheetId="19">'Template names'!#REF!</definedName>
    <definedName name="S71O">'Template names'!#REF!</definedName>
    <definedName name="S71P" localSheetId="1">'[1]Template names'!#REF!</definedName>
    <definedName name="S71P" localSheetId="16">'Template names'!#REF!</definedName>
    <definedName name="S71P" localSheetId="17">'Template names'!#REF!</definedName>
    <definedName name="S71P" localSheetId="18">'Template names'!#REF!</definedName>
    <definedName name="S71P" localSheetId="19">'Template names'!#REF!</definedName>
    <definedName name="S71P">'Template names'!#REF!</definedName>
    <definedName name="S71Q" localSheetId="1">'[1]Template names'!#REF!</definedName>
    <definedName name="S71Q" localSheetId="16">'Template names'!#REF!</definedName>
    <definedName name="S71Q" localSheetId="17">'Template names'!#REF!</definedName>
    <definedName name="S71Q" localSheetId="18">'Template names'!#REF!</definedName>
    <definedName name="S71Q" localSheetId="19">'Template names'!#REF!</definedName>
    <definedName name="S71Q">'Template names'!#REF!</definedName>
    <definedName name="S71SDBIP" localSheetId="1">'[1]Template names'!#REF!</definedName>
    <definedName name="S71SDBIP" localSheetId="16">'Template names'!#REF!</definedName>
    <definedName name="S71SDBIP" localSheetId="17">'Template names'!#REF!</definedName>
    <definedName name="S71SDBIP" localSheetId="18">'Template names'!#REF!</definedName>
    <definedName name="S71SDBIP" localSheetId="19">'Template names'!#REF!</definedName>
    <definedName name="S71SDBIP">'Template names'!#REF!</definedName>
    <definedName name="s71sum" localSheetId="1">'[1]Template names'!#REF!</definedName>
    <definedName name="s71sum" localSheetId="16">'Template names'!#REF!</definedName>
    <definedName name="s71sum" localSheetId="17">'Template names'!#REF!</definedName>
    <definedName name="s71sum" localSheetId="18">'Template names'!#REF!</definedName>
    <definedName name="s71sum" localSheetId="19">'Template names'!#REF!</definedName>
    <definedName name="s71sum">'Template names'!#REF!</definedName>
    <definedName name="Scale" localSheetId="16">'Template names'!#REF!</definedName>
    <definedName name="Scale" localSheetId="17">'Template names'!#REF!</definedName>
    <definedName name="Scale" localSheetId="18">'Template names'!#REF!</definedName>
    <definedName name="Scale" localSheetId="19">'Template names'!#REF!</definedName>
    <definedName name="Scale">'Template names'!#REF!</definedName>
    <definedName name="scenario" localSheetId="1">#REF!</definedName>
    <definedName name="scenario" localSheetId="16">#REF!</definedName>
    <definedName name="scenario" localSheetId="17">#REF!</definedName>
    <definedName name="scenario" localSheetId="18">#REF!</definedName>
    <definedName name="scenario" localSheetId="19">#REF!</definedName>
    <definedName name="scenario">#REF!</definedName>
    <definedName name="Sch1a" localSheetId="16">'Template names'!#REF!</definedName>
    <definedName name="Sch1a" localSheetId="17">'Template names'!#REF!</definedName>
    <definedName name="Sch1a" localSheetId="18">'Template names'!#REF!</definedName>
    <definedName name="Sch1a" localSheetId="19">'Template names'!#REF!</definedName>
    <definedName name="Sch1a">'Template names'!#REF!</definedName>
    <definedName name="Sch2N" localSheetId="16">'Template names'!#REF!</definedName>
    <definedName name="Sch2N" localSheetId="17">'Template names'!#REF!</definedName>
    <definedName name="Sch2N" localSheetId="18">'Template names'!#REF!</definedName>
    <definedName name="Sch2N" localSheetId="19">'Template names'!#REF!</definedName>
    <definedName name="Sch2N">'Template names'!#REF!</definedName>
    <definedName name="Sch5N" localSheetId="16">'Template names'!#REF!</definedName>
    <definedName name="Sch5N" localSheetId="17">'Template names'!#REF!</definedName>
    <definedName name="Sch5N" localSheetId="18">'Template names'!#REF!</definedName>
    <definedName name="Sch5N" localSheetId="19">'Template names'!#REF!</definedName>
    <definedName name="Sch5N">'Template names'!#REF!</definedName>
    <definedName name="Sch7N" localSheetId="16">'Template names'!#REF!</definedName>
    <definedName name="Sch7N" localSheetId="17">'Template names'!#REF!</definedName>
    <definedName name="Sch7N" localSheetId="18">'Template names'!#REF!</definedName>
    <definedName name="Sch7N" localSheetId="19">'Template names'!#REF!</definedName>
    <definedName name="Sch7N">'Template names'!#REF!</definedName>
    <definedName name="SDBIP1" localSheetId="1">'[1]Template names'!#REF!</definedName>
    <definedName name="SDBIP1" localSheetId="16">'Template names'!#REF!</definedName>
    <definedName name="SDBIP1" localSheetId="17">'Template names'!#REF!</definedName>
    <definedName name="SDBIP1" localSheetId="18">'Template names'!#REF!</definedName>
    <definedName name="SDBIP1" localSheetId="19">'Template names'!#REF!</definedName>
    <definedName name="SDBIP1">'Template names'!#REF!</definedName>
    <definedName name="SDBIP10" localSheetId="1">'[1]Template names'!#REF!</definedName>
    <definedName name="SDBIP10" localSheetId="16">'Template names'!#REF!</definedName>
    <definedName name="SDBIP10" localSheetId="17">'Template names'!#REF!</definedName>
    <definedName name="SDBIP10" localSheetId="18">'Template names'!#REF!</definedName>
    <definedName name="SDBIP10" localSheetId="19">'Template names'!#REF!</definedName>
    <definedName name="SDBIP10">'Template names'!#REF!</definedName>
    <definedName name="SDBIP2" localSheetId="1">'[1]Template names'!#REF!</definedName>
    <definedName name="SDBIP2" localSheetId="16">'Template names'!#REF!</definedName>
    <definedName name="SDBIP2" localSheetId="17">'Template names'!#REF!</definedName>
    <definedName name="SDBIP2" localSheetId="18">'Template names'!#REF!</definedName>
    <definedName name="SDBIP2" localSheetId="19">'Template names'!#REF!</definedName>
    <definedName name="SDBIP2">'Template names'!#REF!</definedName>
    <definedName name="SDBIP3" localSheetId="1">'[1]Template names'!#REF!</definedName>
    <definedName name="SDBIP3" localSheetId="16">'Template names'!#REF!</definedName>
    <definedName name="SDBIP3" localSheetId="17">'Template names'!#REF!</definedName>
    <definedName name="SDBIP3" localSheetId="18">'Template names'!#REF!</definedName>
    <definedName name="SDBIP3" localSheetId="19">'Template names'!#REF!</definedName>
    <definedName name="SDBIP3">'Template names'!#REF!</definedName>
    <definedName name="SDBIP4" localSheetId="1">'[1]Template names'!#REF!</definedName>
    <definedName name="SDBIP4" localSheetId="16">'Template names'!#REF!</definedName>
    <definedName name="SDBIP4" localSheetId="17">'Template names'!#REF!</definedName>
    <definedName name="SDBIP4" localSheetId="18">'Template names'!#REF!</definedName>
    <definedName name="SDBIP4" localSheetId="19">'Template names'!#REF!</definedName>
    <definedName name="SDBIP4">'Template names'!#REF!</definedName>
    <definedName name="SDBIP8" localSheetId="1">'[1]Template names'!#REF!</definedName>
    <definedName name="SDBIP8" localSheetId="16">'Template names'!#REF!</definedName>
    <definedName name="SDBIP8" localSheetId="17">'Template names'!#REF!</definedName>
    <definedName name="SDBIP8" localSheetId="18">'Template names'!#REF!</definedName>
    <definedName name="SDBIP8" localSheetId="19">'Template names'!#REF!</definedName>
    <definedName name="SDBIP8">'Template names'!#REF!</definedName>
    <definedName name="sdcred06">#REF!</definedName>
    <definedName name="SFPerf1">'Template names'!$B$68</definedName>
    <definedName name="SFPerf2">'Template names'!$B$69</definedName>
    <definedName name="SFpos1">'Template names'!$B$70</definedName>
    <definedName name="SFpos2">'Template names'!$B$71</definedName>
    <definedName name="TabC19" localSheetId="16">'Template names'!#REF!</definedName>
    <definedName name="TabC19" localSheetId="17">'Template names'!#REF!</definedName>
    <definedName name="TabC19" localSheetId="18">'Template names'!#REF!</definedName>
    <definedName name="TabC19" localSheetId="19">'Template names'!#REF!</definedName>
    <definedName name="TabC19">'Template names'!#REF!</definedName>
    <definedName name="TabC3" localSheetId="1">'[1]Template names'!#REF!</definedName>
    <definedName name="TabC3" localSheetId="16">'Template names'!#REF!</definedName>
    <definedName name="TabC3" localSheetId="17">'Template names'!#REF!</definedName>
    <definedName name="TabC3" localSheetId="18">'Template names'!#REF!</definedName>
    <definedName name="TabC3" localSheetId="19">'Template names'!#REF!</definedName>
    <definedName name="TabC3">'Template names'!#REF!</definedName>
    <definedName name="TabC4" localSheetId="1">'[1]Template names'!#REF!</definedName>
    <definedName name="TabC4" localSheetId="16">'Template names'!#REF!</definedName>
    <definedName name="TabC4" localSheetId="17">'Template names'!#REF!</definedName>
    <definedName name="TabC4" localSheetId="18">'Template names'!#REF!</definedName>
    <definedName name="TabC4" localSheetId="19">'Template names'!#REF!</definedName>
    <definedName name="TabC4">'Template names'!#REF!</definedName>
    <definedName name="TabC5" localSheetId="1">'[1]Template names'!#REF!</definedName>
    <definedName name="TabC5" localSheetId="16">'Template names'!#REF!</definedName>
    <definedName name="TabC5" localSheetId="17">'Template names'!#REF!</definedName>
    <definedName name="TabC5" localSheetId="18">'Template names'!#REF!</definedName>
    <definedName name="TabC5" localSheetId="19">'Template names'!#REF!</definedName>
    <definedName name="TabC5">'Template names'!#REF!</definedName>
    <definedName name="TabC6" localSheetId="1">'[1]Template names'!#REF!</definedName>
    <definedName name="TabC6" localSheetId="16">'Template names'!#REF!</definedName>
    <definedName name="TabC6" localSheetId="17">'Template names'!#REF!</definedName>
    <definedName name="TabC6" localSheetId="18">'Template names'!#REF!</definedName>
    <definedName name="TabC6" localSheetId="19">'Template names'!#REF!</definedName>
    <definedName name="TabC6">'Template names'!#REF!</definedName>
    <definedName name="Tabc7" localSheetId="1">'[1]Template names'!#REF!</definedName>
    <definedName name="Tabc7" localSheetId="16">'Template names'!#REF!</definedName>
    <definedName name="Tabc7" localSheetId="17">'Template names'!#REF!</definedName>
    <definedName name="Tabc7" localSheetId="18">'Template names'!#REF!</definedName>
    <definedName name="Tabc7" localSheetId="19">'Template names'!#REF!</definedName>
    <definedName name="Tabc7">'Template names'!#REF!</definedName>
    <definedName name="Tabc8" localSheetId="1">'[1]Template names'!#REF!</definedName>
    <definedName name="Tabc8" localSheetId="16">'Template names'!#REF!</definedName>
    <definedName name="Tabc8" localSheetId="17">'Template names'!#REF!</definedName>
    <definedName name="Tabc8" localSheetId="18">'Template names'!#REF!</definedName>
    <definedName name="Tabc8" localSheetId="19">'Template names'!#REF!</definedName>
    <definedName name="Tabc8">'Template names'!#REF!</definedName>
    <definedName name="Tabc9" localSheetId="1">'[1]Template names'!#REF!</definedName>
    <definedName name="Tabc9" localSheetId="16">'Template names'!#REF!</definedName>
    <definedName name="Tabc9" localSheetId="17">'Template names'!#REF!</definedName>
    <definedName name="Tabc9" localSheetId="18">'Template names'!#REF!</definedName>
    <definedName name="Tabc9" localSheetId="19">'Template names'!#REF!</definedName>
    <definedName name="Tabc9">'Template names'!#REF!</definedName>
    <definedName name="Tablc8" localSheetId="1">'[1]Template names'!#REF!</definedName>
    <definedName name="Tablc8" localSheetId="16">'Template names'!#REF!</definedName>
    <definedName name="Tablc8" localSheetId="17">'Template names'!#REF!</definedName>
    <definedName name="Tablc8" localSheetId="18">'Template names'!#REF!</definedName>
    <definedName name="Tablc8" localSheetId="19">'Template names'!#REF!</definedName>
    <definedName name="Tablc8">'Template names'!#REF!</definedName>
    <definedName name="Table1" localSheetId="16">'Template names'!#REF!</definedName>
    <definedName name="Table1" localSheetId="17">'Template names'!#REF!</definedName>
    <definedName name="Table1" localSheetId="18">'Template names'!#REF!</definedName>
    <definedName name="Table1" localSheetId="19">'Template names'!#REF!</definedName>
    <definedName name="Table1">'Template names'!#REF!</definedName>
    <definedName name="Table10" localSheetId="16">'Template names'!#REF!</definedName>
    <definedName name="Table10" localSheetId="17">'Template names'!#REF!</definedName>
    <definedName name="Table10" localSheetId="18">'Template names'!#REF!</definedName>
    <definedName name="Table10" localSheetId="19">'Template names'!#REF!</definedName>
    <definedName name="Table10">'Template names'!#REF!</definedName>
    <definedName name="Table11" localSheetId="16">'Template names'!#REF!</definedName>
    <definedName name="Table11" localSheetId="17">'Template names'!#REF!</definedName>
    <definedName name="Table11" localSheetId="18">'Template names'!#REF!</definedName>
    <definedName name="Table11" localSheetId="19">'Template names'!#REF!</definedName>
    <definedName name="Table11">'Template names'!#REF!</definedName>
    <definedName name="Table12" localSheetId="16">'Template names'!#REF!</definedName>
    <definedName name="Table12" localSheetId="17">'Template names'!#REF!</definedName>
    <definedName name="Table12" localSheetId="18">'Template names'!#REF!</definedName>
    <definedName name="Table12" localSheetId="19">'Template names'!#REF!</definedName>
    <definedName name="Table12">'Template names'!#REF!</definedName>
    <definedName name="Table13" localSheetId="16">'Template names'!#REF!</definedName>
    <definedName name="Table13" localSheetId="17">'Template names'!#REF!</definedName>
    <definedName name="Table13" localSheetId="18">'Template names'!#REF!</definedName>
    <definedName name="Table13" localSheetId="19">'Template names'!#REF!</definedName>
    <definedName name="Table13">'Template names'!#REF!</definedName>
    <definedName name="Table14" localSheetId="16">'Template names'!#REF!</definedName>
    <definedName name="Table14" localSheetId="17">'Template names'!#REF!</definedName>
    <definedName name="Table14" localSheetId="18">'Template names'!#REF!</definedName>
    <definedName name="Table14" localSheetId="19">'Template names'!#REF!</definedName>
    <definedName name="Table14">'Template names'!#REF!</definedName>
    <definedName name="Table14A" localSheetId="16">'Template names'!#REF!</definedName>
    <definedName name="Table14A" localSheetId="17">'Template names'!#REF!</definedName>
    <definedName name="Table14A" localSheetId="18">'Template names'!#REF!</definedName>
    <definedName name="Table14A" localSheetId="19">'Template names'!#REF!</definedName>
    <definedName name="Table14A">'Template names'!#REF!</definedName>
    <definedName name="Table14B" localSheetId="16">'Template names'!#REF!</definedName>
    <definedName name="Table14B" localSheetId="17">'Template names'!#REF!</definedName>
    <definedName name="Table14B" localSheetId="18">'Template names'!#REF!</definedName>
    <definedName name="Table14B" localSheetId="19">'Template names'!#REF!</definedName>
    <definedName name="Table14B">'Template names'!#REF!</definedName>
    <definedName name="Table15" localSheetId="16">'Template names'!#REF!</definedName>
    <definedName name="Table15" localSheetId="17">'Template names'!#REF!</definedName>
    <definedName name="Table15" localSheetId="18">'Template names'!#REF!</definedName>
    <definedName name="Table15" localSheetId="19">'Template names'!#REF!</definedName>
    <definedName name="Table15">'Template names'!#REF!</definedName>
    <definedName name="Table15A" localSheetId="16">'Template names'!#REF!</definedName>
    <definedName name="Table15A" localSheetId="17">'Template names'!#REF!</definedName>
    <definedName name="Table15A" localSheetId="18">'Template names'!#REF!</definedName>
    <definedName name="Table15A" localSheetId="19">'Template names'!#REF!</definedName>
    <definedName name="Table15A">'Template names'!#REF!</definedName>
    <definedName name="Table15New" localSheetId="16">'Template names'!#REF!</definedName>
    <definedName name="Table15New" localSheetId="17">'Template names'!#REF!</definedName>
    <definedName name="Table15New" localSheetId="18">'Template names'!#REF!</definedName>
    <definedName name="Table15New" localSheetId="19">'Template names'!#REF!</definedName>
    <definedName name="Table15New">'Template names'!#REF!</definedName>
    <definedName name="Table16" localSheetId="16">'Template names'!#REF!</definedName>
    <definedName name="Table16" localSheetId="17">'Template names'!#REF!</definedName>
    <definedName name="Table16" localSheetId="18">'Template names'!#REF!</definedName>
    <definedName name="Table16" localSheetId="19">'Template names'!#REF!</definedName>
    <definedName name="Table16">'Template names'!#REF!</definedName>
    <definedName name="Table17" localSheetId="16">'Template names'!#REF!</definedName>
    <definedName name="Table17" localSheetId="17">'Template names'!#REF!</definedName>
    <definedName name="Table17" localSheetId="18">'Template names'!#REF!</definedName>
    <definedName name="Table17" localSheetId="19">'Template names'!#REF!</definedName>
    <definedName name="Table17">'Template names'!#REF!</definedName>
    <definedName name="Table18" localSheetId="16">'Template names'!#REF!</definedName>
    <definedName name="Table18" localSheetId="17">'Template names'!#REF!</definedName>
    <definedName name="Table18" localSheetId="18">'Template names'!#REF!</definedName>
    <definedName name="Table18" localSheetId="19">'Template names'!#REF!</definedName>
    <definedName name="Table18">'Template names'!#REF!</definedName>
    <definedName name="Table19" localSheetId="16">'Template names'!#REF!</definedName>
    <definedName name="Table19" localSheetId="17">'Template names'!#REF!</definedName>
    <definedName name="Table19" localSheetId="18">'Template names'!#REF!</definedName>
    <definedName name="Table19" localSheetId="19">'Template names'!#REF!</definedName>
    <definedName name="Table19">'Template names'!#REF!</definedName>
    <definedName name="Table2" localSheetId="16">'Template names'!#REF!</definedName>
    <definedName name="Table2" localSheetId="17">'Template names'!#REF!</definedName>
    <definedName name="Table2" localSheetId="18">'Template names'!#REF!</definedName>
    <definedName name="Table2" localSheetId="19">'Template names'!#REF!</definedName>
    <definedName name="Table2">'Template names'!#REF!</definedName>
    <definedName name="Table20" localSheetId="16">'Template names'!#REF!</definedName>
    <definedName name="Table20" localSheetId="17">'Template names'!#REF!</definedName>
    <definedName name="Table20" localSheetId="18">'Template names'!#REF!</definedName>
    <definedName name="Table20" localSheetId="19">'Template names'!#REF!</definedName>
    <definedName name="Table20">'Template names'!#REF!</definedName>
    <definedName name="Table21" localSheetId="16">'Template names'!#REF!</definedName>
    <definedName name="Table21" localSheetId="17">'Template names'!#REF!</definedName>
    <definedName name="Table21" localSheetId="18">'Template names'!#REF!</definedName>
    <definedName name="Table21" localSheetId="19">'Template names'!#REF!</definedName>
    <definedName name="Table21">'Template names'!#REF!</definedName>
    <definedName name="Table22" localSheetId="16">'Template names'!#REF!</definedName>
    <definedName name="Table22" localSheetId="17">'Template names'!#REF!</definedName>
    <definedName name="Table22" localSheetId="18">'Template names'!#REF!</definedName>
    <definedName name="Table22" localSheetId="19">'Template names'!#REF!</definedName>
    <definedName name="Table22">'Template names'!#REF!</definedName>
    <definedName name="Table23" localSheetId="16">'Template names'!#REF!</definedName>
    <definedName name="Table23" localSheetId="17">'Template names'!#REF!</definedName>
    <definedName name="Table23" localSheetId="18">'Template names'!#REF!</definedName>
    <definedName name="Table23" localSheetId="19">'Template names'!#REF!</definedName>
    <definedName name="Table23">'Template names'!#REF!</definedName>
    <definedName name="Table24">'Template names'!$B$90</definedName>
    <definedName name="Table24A" localSheetId="16">'Template names'!#REF!</definedName>
    <definedName name="Table24A" localSheetId="17">'Template names'!#REF!</definedName>
    <definedName name="Table24A" localSheetId="18">'Template names'!#REF!</definedName>
    <definedName name="Table24A" localSheetId="19">'Template names'!#REF!</definedName>
    <definedName name="Table24A">'Template names'!#REF!</definedName>
    <definedName name="Table25" localSheetId="16">'Template names'!#REF!</definedName>
    <definedName name="Table25" localSheetId="17">'Template names'!#REF!</definedName>
    <definedName name="Table25" localSheetId="18">'Template names'!#REF!</definedName>
    <definedName name="Table25" localSheetId="19">'Template names'!#REF!</definedName>
    <definedName name="Table25">'Template names'!#REF!</definedName>
    <definedName name="Table26" localSheetId="16">'Template names'!#REF!</definedName>
    <definedName name="Table26" localSheetId="17">'Template names'!#REF!</definedName>
    <definedName name="Table26" localSheetId="18">'Template names'!#REF!</definedName>
    <definedName name="Table26" localSheetId="19">'Template names'!#REF!</definedName>
    <definedName name="Table26">'Template names'!#REF!</definedName>
    <definedName name="Table27" localSheetId="16">'Template names'!#REF!</definedName>
    <definedName name="Table27" localSheetId="17">'Template names'!#REF!</definedName>
    <definedName name="Table27" localSheetId="18">'Template names'!#REF!</definedName>
    <definedName name="Table27" localSheetId="19">'Template names'!#REF!</definedName>
    <definedName name="Table27">'Template names'!#REF!</definedName>
    <definedName name="Table28" localSheetId="16">'Template names'!#REF!</definedName>
    <definedName name="Table28" localSheetId="17">'Template names'!#REF!</definedName>
    <definedName name="Table28" localSheetId="18">'Template names'!#REF!</definedName>
    <definedName name="Table28" localSheetId="19">'Template names'!#REF!</definedName>
    <definedName name="Table28">'Template names'!#REF!</definedName>
    <definedName name="Table29" localSheetId="16">'Template names'!#REF!</definedName>
    <definedName name="Table29" localSheetId="17">'Template names'!#REF!</definedName>
    <definedName name="Table29" localSheetId="18">'Template names'!#REF!</definedName>
    <definedName name="Table29" localSheetId="19">'Template names'!#REF!</definedName>
    <definedName name="Table29">'Template names'!#REF!</definedName>
    <definedName name="Table3" localSheetId="16">'Template names'!#REF!</definedName>
    <definedName name="Table3" localSheetId="17">'Template names'!#REF!</definedName>
    <definedName name="Table3" localSheetId="18">'Template names'!#REF!</definedName>
    <definedName name="Table3" localSheetId="19">'Template names'!#REF!</definedName>
    <definedName name="Table3">'Template names'!#REF!</definedName>
    <definedName name="Table30" localSheetId="16">'Template names'!#REF!</definedName>
    <definedName name="Table30" localSheetId="17">'Template names'!#REF!</definedName>
    <definedName name="Table30" localSheetId="18">'Template names'!#REF!</definedName>
    <definedName name="Table30" localSheetId="19">'Template names'!#REF!</definedName>
    <definedName name="Table30">'Template names'!#REF!</definedName>
    <definedName name="Table31" localSheetId="16">'Template names'!#REF!</definedName>
    <definedName name="Table31" localSheetId="17">'Template names'!#REF!</definedName>
    <definedName name="Table31" localSheetId="18">'Template names'!#REF!</definedName>
    <definedName name="Table31" localSheetId="19">'Template names'!#REF!</definedName>
    <definedName name="Table31">'Template names'!#REF!</definedName>
    <definedName name="Table32" localSheetId="16">'Template names'!#REF!</definedName>
    <definedName name="Table32" localSheetId="17">'Template names'!#REF!</definedName>
    <definedName name="Table32" localSheetId="18">'Template names'!#REF!</definedName>
    <definedName name="Table32" localSheetId="19">'Template names'!#REF!</definedName>
    <definedName name="Table32">'Template names'!#REF!</definedName>
    <definedName name="Table33" localSheetId="16">'Template names'!#REF!</definedName>
    <definedName name="Table33" localSheetId="17">'Template names'!#REF!</definedName>
    <definedName name="Table33" localSheetId="18">'Template names'!#REF!</definedName>
    <definedName name="Table33" localSheetId="19">'Template names'!#REF!</definedName>
    <definedName name="Table33">'Template names'!#REF!</definedName>
    <definedName name="Table4" localSheetId="16">'Template names'!#REF!</definedName>
    <definedName name="Table4" localSheetId="17">'Template names'!#REF!</definedName>
    <definedName name="Table4" localSheetId="18">'Template names'!#REF!</definedName>
    <definedName name="Table4" localSheetId="19">'Template names'!#REF!</definedName>
    <definedName name="Table4">'Template names'!#REF!</definedName>
    <definedName name="Table5" localSheetId="16">'Template names'!#REF!</definedName>
    <definedName name="Table5" localSheetId="17">'Template names'!#REF!</definedName>
    <definedName name="Table5" localSheetId="18">'Template names'!#REF!</definedName>
    <definedName name="Table5" localSheetId="19">'Template names'!#REF!</definedName>
    <definedName name="Table5">'Template names'!#REF!</definedName>
    <definedName name="Table6" localSheetId="16">'Template names'!#REF!</definedName>
    <definedName name="Table6" localSheetId="17">'Template names'!#REF!</definedName>
    <definedName name="Table6" localSheetId="18">'Template names'!#REF!</definedName>
    <definedName name="Table6" localSheetId="19">'Template names'!#REF!</definedName>
    <definedName name="Table6">'Template names'!#REF!</definedName>
    <definedName name="Table7" localSheetId="16">'Template names'!#REF!</definedName>
    <definedName name="Table7" localSheetId="17">'Template names'!#REF!</definedName>
    <definedName name="Table7" localSheetId="18">'Template names'!#REF!</definedName>
    <definedName name="Table7" localSheetId="19">'Template names'!#REF!</definedName>
    <definedName name="Table7">'Template names'!#REF!</definedName>
    <definedName name="Table8" localSheetId="16">'Template names'!#REF!</definedName>
    <definedName name="Table8" localSheetId="17">'Template names'!#REF!</definedName>
    <definedName name="Table8" localSheetId="18">'Template names'!#REF!</definedName>
    <definedName name="Table8" localSheetId="19">'Template names'!#REF!</definedName>
    <definedName name="Table8">'Template names'!#REF!</definedName>
    <definedName name="Table9" localSheetId="16">'Template names'!#REF!</definedName>
    <definedName name="Table9" localSheetId="17">'Template names'!#REF!</definedName>
    <definedName name="Table9" localSheetId="18">'Template names'!#REF!</definedName>
    <definedName name="Table9" localSheetId="19">'Template names'!#REF!</definedName>
    <definedName name="Table9">'Template names'!#REF!</definedName>
    <definedName name="TableA24">'Template names'!$B$139</definedName>
    <definedName name="TableD7" localSheetId="1">'[1]Template names'!#REF!</definedName>
    <definedName name="TableD7">'Template names'!$B$97</definedName>
    <definedName name="TableD8" localSheetId="1">'[1]Template names'!#REF!</definedName>
    <definedName name="TableD8">'Template names'!$B$98</definedName>
    <definedName name="TableE4" localSheetId="1">'[1]Template names'!#REF!</definedName>
    <definedName name="TableE4" localSheetId="16">'Template names'!#REF!</definedName>
    <definedName name="TableE4" localSheetId="17">'Template names'!#REF!</definedName>
    <definedName name="TableE4" localSheetId="18">'Template names'!#REF!</definedName>
    <definedName name="TableE4" localSheetId="19">'Template names'!#REF!</definedName>
    <definedName name="TableE4">'Template names'!#REF!</definedName>
    <definedName name="TableE7" localSheetId="1">'[1]Template names'!#REF!</definedName>
    <definedName name="TableE7" localSheetId="16">'Template names'!#REF!</definedName>
    <definedName name="TableE7" localSheetId="17">'Template names'!#REF!</definedName>
    <definedName name="TableE7" localSheetId="18">'Template names'!#REF!</definedName>
    <definedName name="TableE7" localSheetId="19">'Template names'!#REF!</definedName>
    <definedName name="TableE7">'Template names'!#REF!</definedName>
    <definedName name="TableE9" localSheetId="1">'[1]Template names'!#REF!</definedName>
    <definedName name="TableE9" localSheetId="16">'Template names'!#REF!</definedName>
    <definedName name="TableE9" localSheetId="17">'Template names'!#REF!</definedName>
    <definedName name="TableE9" localSheetId="18">'Template names'!#REF!</definedName>
    <definedName name="TableE9" localSheetId="19">'Template names'!#REF!</definedName>
    <definedName name="TableE9">'Template names'!#REF!</definedName>
    <definedName name="TableF6" localSheetId="1">'[1]Template names'!#REF!</definedName>
    <definedName name="TableF6" localSheetId="16">'Template names'!#REF!</definedName>
    <definedName name="TableF6" localSheetId="17">'Template names'!#REF!</definedName>
    <definedName name="TableF6" localSheetId="18">'Template names'!#REF!</definedName>
    <definedName name="TableF6" localSheetId="19">'Template names'!#REF!</definedName>
    <definedName name="TableF6">'Template names'!#REF!</definedName>
    <definedName name="tariffdisc05" localSheetId="1">#REF!</definedName>
    <definedName name="tariffdisc05" localSheetId="16">#REF!</definedName>
    <definedName name="tariffdisc05" localSheetId="17">#REF!</definedName>
    <definedName name="tariffdisc05" localSheetId="18">#REF!</definedName>
    <definedName name="tariffdisc05" localSheetId="19">#REF!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'Template names'!$B$33</definedName>
  </definedNames>
  <calcPr calcId="171027"/>
  <fileRecoveryPr autoRecover="0"/>
</workbook>
</file>

<file path=xl/calcChain.xml><?xml version="1.0" encoding="utf-8"?>
<calcChain xmlns="http://schemas.openxmlformats.org/spreadsheetml/2006/main">
  <c r="K172" i="344" l="1"/>
  <c r="J172" i="344"/>
  <c r="I172" i="344"/>
  <c r="H172" i="344"/>
  <c r="F172" i="344"/>
  <c r="E172" i="344"/>
  <c r="D172" i="344"/>
  <c r="C172" i="344"/>
  <c r="K153" i="344"/>
  <c r="I17" i="285" l="1"/>
  <c r="F17" i="285"/>
  <c r="D17" i="285"/>
  <c r="C17" i="285"/>
  <c r="F16" i="285"/>
  <c r="E16" i="285"/>
  <c r="D16" i="285"/>
  <c r="C16" i="285"/>
  <c r="K14" i="200"/>
  <c r="J14" i="200"/>
  <c r="I14" i="200"/>
  <c r="C14" i="200"/>
  <c r="C6" i="201"/>
  <c r="H33" i="65"/>
  <c r="D33" i="65"/>
  <c r="C33" i="65"/>
  <c r="F31" i="65"/>
  <c r="K27" i="65"/>
  <c r="I27" i="65"/>
  <c r="I24" i="65"/>
  <c r="C19" i="65"/>
  <c r="K19" i="65" l="1"/>
  <c r="J19" i="65"/>
  <c r="I19" i="65"/>
  <c r="F19" i="65"/>
  <c r="E41" i="285" l="1"/>
  <c r="H42" i="285"/>
  <c r="B83" i="100" l="1"/>
  <c r="A1" i="202" s="1"/>
  <c r="K177" i="202"/>
  <c r="J177" i="202"/>
  <c r="I31" i="279"/>
  <c r="I177" i="202"/>
  <c r="H177" i="202"/>
  <c r="G31" i="279"/>
  <c r="G177" i="202"/>
  <c r="F177" i="202"/>
  <c r="E31" i="279"/>
  <c r="E177" i="202"/>
  <c r="D177" i="202"/>
  <c r="C31" i="279"/>
  <c r="C177" i="202"/>
  <c r="K176" i="202"/>
  <c r="J30" i="279"/>
  <c r="J176" i="202"/>
  <c r="I176" i="202"/>
  <c r="H30" i="279"/>
  <c r="H176" i="202"/>
  <c r="G176" i="202"/>
  <c r="F30" i="279"/>
  <c r="F176" i="202"/>
  <c r="E176" i="202"/>
  <c r="D30" i="279"/>
  <c r="D176" i="202"/>
  <c r="C176" i="202"/>
  <c r="B30" i="279"/>
  <c r="K175" i="202"/>
  <c r="J29" i="279"/>
  <c r="J175" i="202"/>
  <c r="I29" i="279"/>
  <c r="I175" i="202"/>
  <c r="H175" i="202"/>
  <c r="I47" i="198"/>
  <c r="G175" i="202"/>
  <c r="F175" i="202"/>
  <c r="E175" i="202"/>
  <c r="D175" i="202"/>
  <c r="C29" i="279"/>
  <c r="C175" i="202"/>
  <c r="K173" i="202"/>
  <c r="J173" i="202"/>
  <c r="I173" i="202"/>
  <c r="H173" i="202"/>
  <c r="G173" i="202"/>
  <c r="F173" i="202"/>
  <c r="E173" i="202"/>
  <c r="D173" i="202"/>
  <c r="C173" i="202"/>
  <c r="C174" i="202"/>
  <c r="K172" i="202"/>
  <c r="J172" i="202"/>
  <c r="I172" i="202"/>
  <c r="H172" i="202"/>
  <c r="H174" i="202"/>
  <c r="I46" i="198"/>
  <c r="G172" i="202"/>
  <c r="F172" i="202"/>
  <c r="E172" i="202"/>
  <c r="D172" i="202"/>
  <c r="D174" i="202"/>
  <c r="C172" i="202"/>
  <c r="K171" i="202"/>
  <c r="J171" i="202"/>
  <c r="I171" i="202"/>
  <c r="I174" i="202"/>
  <c r="I178" i="202"/>
  <c r="H171" i="202"/>
  <c r="G171" i="202"/>
  <c r="F171" i="202"/>
  <c r="E171" i="202"/>
  <c r="D171" i="202"/>
  <c r="C171" i="202"/>
  <c r="K170" i="202"/>
  <c r="J170" i="202"/>
  <c r="I170" i="202"/>
  <c r="H170" i="202"/>
  <c r="G170" i="202"/>
  <c r="F170" i="202"/>
  <c r="E170" i="202"/>
  <c r="D170" i="202"/>
  <c r="C170" i="202"/>
  <c r="K165" i="202"/>
  <c r="K164" i="202"/>
  <c r="J165" i="202"/>
  <c r="J164" i="202"/>
  <c r="I165" i="202"/>
  <c r="I164" i="202"/>
  <c r="H165" i="202"/>
  <c r="H164" i="202"/>
  <c r="G165" i="202"/>
  <c r="G164" i="202"/>
  <c r="F165" i="202"/>
  <c r="E165" i="202"/>
  <c r="E164" i="202"/>
  <c r="D165" i="202"/>
  <c r="D164" i="202"/>
  <c r="C165" i="202"/>
  <c r="C164" i="202"/>
  <c r="K162" i="202"/>
  <c r="K161" i="202"/>
  <c r="J162" i="202"/>
  <c r="I162" i="202"/>
  <c r="H162" i="202"/>
  <c r="G162" i="202"/>
  <c r="F162" i="202"/>
  <c r="E162" i="202"/>
  <c r="D162" i="202"/>
  <c r="C162" i="202"/>
  <c r="C161" i="202"/>
  <c r="K159" i="202"/>
  <c r="J159" i="202"/>
  <c r="I159" i="202"/>
  <c r="H159" i="202"/>
  <c r="G159" i="202"/>
  <c r="F159" i="202"/>
  <c r="E159" i="202"/>
  <c r="E158" i="202"/>
  <c r="D159" i="202"/>
  <c r="C159" i="202"/>
  <c r="C158" i="202"/>
  <c r="K156" i="202"/>
  <c r="J156" i="202"/>
  <c r="I156" i="202"/>
  <c r="H156" i="202"/>
  <c r="G156" i="202"/>
  <c r="G155" i="202"/>
  <c r="F156" i="202"/>
  <c r="E156" i="202"/>
  <c r="D156" i="202"/>
  <c r="C156" i="202"/>
  <c r="C155" i="202"/>
  <c r="K153" i="202"/>
  <c r="J153" i="202"/>
  <c r="I153" i="202"/>
  <c r="H153" i="202"/>
  <c r="G153" i="202"/>
  <c r="F153" i="202"/>
  <c r="E153" i="202"/>
  <c r="D153" i="202"/>
  <c r="D152" i="202" s="1"/>
  <c r="D167" i="202" s="1"/>
  <c r="C153" i="202"/>
  <c r="C152" i="202" s="1"/>
  <c r="C167" i="202" s="1"/>
  <c r="K150" i="202"/>
  <c r="J150" i="202"/>
  <c r="I150" i="202"/>
  <c r="H150" i="202"/>
  <c r="G150" i="202"/>
  <c r="F150" i="202"/>
  <c r="E150" i="202"/>
  <c r="D150" i="202"/>
  <c r="C150" i="202"/>
  <c r="C149" i="202"/>
  <c r="K147" i="202"/>
  <c r="J147" i="202"/>
  <c r="I147" i="202"/>
  <c r="H147" i="202"/>
  <c r="G147" i="202"/>
  <c r="F147" i="202"/>
  <c r="E147" i="202"/>
  <c r="D147" i="202"/>
  <c r="C147" i="202"/>
  <c r="K146" i="202"/>
  <c r="J146" i="202"/>
  <c r="I146" i="202"/>
  <c r="H146" i="202"/>
  <c r="G146" i="202"/>
  <c r="F146" i="202"/>
  <c r="E146" i="202"/>
  <c r="D146" i="202"/>
  <c r="C146" i="202"/>
  <c r="K145" i="202"/>
  <c r="J145" i="202"/>
  <c r="I145" i="202"/>
  <c r="H145" i="202"/>
  <c r="G145" i="202"/>
  <c r="F145" i="202"/>
  <c r="E145" i="202"/>
  <c r="D145" i="202"/>
  <c r="C145" i="202"/>
  <c r="K144" i="202"/>
  <c r="J144" i="202"/>
  <c r="I144" i="202"/>
  <c r="H144" i="202"/>
  <c r="G144" i="202"/>
  <c r="F144" i="202"/>
  <c r="E144" i="202"/>
  <c r="D144" i="202"/>
  <c r="C144" i="202"/>
  <c r="K143" i="202"/>
  <c r="J143" i="202"/>
  <c r="I143" i="202"/>
  <c r="H143" i="202"/>
  <c r="G143" i="202"/>
  <c r="F143" i="202"/>
  <c r="E143" i="202"/>
  <c r="D143" i="202"/>
  <c r="C143" i="202"/>
  <c r="K142" i="202"/>
  <c r="J142" i="202"/>
  <c r="I142" i="202"/>
  <c r="H142" i="202"/>
  <c r="G142" i="202"/>
  <c r="F142" i="202"/>
  <c r="E142" i="202"/>
  <c r="D142" i="202"/>
  <c r="C142" i="202"/>
  <c r="K140" i="202"/>
  <c r="J140" i="202"/>
  <c r="I140" i="202"/>
  <c r="H140" i="202"/>
  <c r="G140" i="202"/>
  <c r="F140" i="202"/>
  <c r="E140" i="202"/>
  <c r="D140" i="202"/>
  <c r="C140" i="202"/>
  <c r="K137" i="202"/>
  <c r="J137" i="202"/>
  <c r="I137" i="202"/>
  <c r="H137" i="202"/>
  <c r="G137" i="202"/>
  <c r="F137" i="202"/>
  <c r="E137" i="202"/>
  <c r="D137" i="202"/>
  <c r="C137" i="202"/>
  <c r="C136" i="202"/>
  <c r="K134" i="202"/>
  <c r="J134" i="202"/>
  <c r="I134" i="202"/>
  <c r="H134" i="202"/>
  <c r="G134" i="202"/>
  <c r="F134" i="202"/>
  <c r="E134" i="202"/>
  <c r="D134" i="202"/>
  <c r="C134" i="202"/>
  <c r="K133" i="202"/>
  <c r="J133" i="202"/>
  <c r="I133" i="202"/>
  <c r="H133" i="202"/>
  <c r="G133" i="202"/>
  <c r="F133" i="202"/>
  <c r="E133" i="202"/>
  <c r="D133" i="202"/>
  <c r="C133" i="202"/>
  <c r="K132" i="202"/>
  <c r="J132" i="202"/>
  <c r="I132" i="202"/>
  <c r="H132" i="202"/>
  <c r="G132" i="202"/>
  <c r="F132" i="202"/>
  <c r="E132" i="202"/>
  <c r="D132" i="202"/>
  <c r="C132" i="202"/>
  <c r="K130" i="202"/>
  <c r="J130" i="202"/>
  <c r="I130" i="202"/>
  <c r="H130" i="202"/>
  <c r="G130" i="202"/>
  <c r="F130" i="202"/>
  <c r="E130" i="202"/>
  <c r="D130" i="202"/>
  <c r="C130" i="202"/>
  <c r="K129" i="202"/>
  <c r="J129" i="202"/>
  <c r="I129" i="202"/>
  <c r="H129" i="202"/>
  <c r="G129" i="202"/>
  <c r="F129" i="202"/>
  <c r="E129" i="202"/>
  <c r="D129" i="202"/>
  <c r="C129" i="202"/>
  <c r="K128" i="202"/>
  <c r="J128" i="202"/>
  <c r="I128" i="202"/>
  <c r="H128" i="202"/>
  <c r="G128" i="202"/>
  <c r="F128" i="202"/>
  <c r="E128" i="202"/>
  <c r="D128" i="202"/>
  <c r="C128" i="202"/>
  <c r="K127" i="202"/>
  <c r="J127" i="202"/>
  <c r="I127" i="202"/>
  <c r="H127" i="202"/>
  <c r="G127" i="202"/>
  <c r="F127" i="202"/>
  <c r="E127" i="202"/>
  <c r="D127" i="202"/>
  <c r="C127" i="202"/>
  <c r="K126" i="202"/>
  <c r="J126" i="202"/>
  <c r="I126" i="202"/>
  <c r="H126" i="202"/>
  <c r="G126" i="202"/>
  <c r="F126" i="202"/>
  <c r="E126" i="202"/>
  <c r="D126" i="202"/>
  <c r="C126" i="202"/>
  <c r="K125" i="202"/>
  <c r="J125" i="202"/>
  <c r="I125" i="202"/>
  <c r="H125" i="202"/>
  <c r="G125" i="202"/>
  <c r="F125" i="202"/>
  <c r="E125" i="202"/>
  <c r="D125" i="202"/>
  <c r="C125" i="202"/>
  <c r="K124" i="202"/>
  <c r="J124" i="202"/>
  <c r="I124" i="202"/>
  <c r="H124" i="202"/>
  <c r="G124" i="202"/>
  <c r="F124" i="202"/>
  <c r="E124" i="202"/>
  <c r="D124" i="202"/>
  <c r="C124" i="202"/>
  <c r="K123" i="202"/>
  <c r="J123" i="202"/>
  <c r="I123" i="202"/>
  <c r="H123" i="202"/>
  <c r="G123" i="202"/>
  <c r="F123" i="202"/>
  <c r="E123" i="202"/>
  <c r="D123" i="202"/>
  <c r="C123" i="202"/>
  <c r="K122" i="202"/>
  <c r="J122" i="202"/>
  <c r="I122" i="202"/>
  <c r="H122" i="202"/>
  <c r="G122" i="202"/>
  <c r="F122" i="202"/>
  <c r="E122" i="202"/>
  <c r="D122" i="202"/>
  <c r="C122" i="202"/>
  <c r="K121" i="202"/>
  <c r="J121" i="202"/>
  <c r="I121" i="202"/>
  <c r="H121" i="202"/>
  <c r="G121" i="202"/>
  <c r="F121" i="202"/>
  <c r="E121" i="202"/>
  <c r="D121" i="202"/>
  <c r="C121" i="202"/>
  <c r="K120" i="202"/>
  <c r="J120" i="202"/>
  <c r="I120" i="202"/>
  <c r="H120" i="202"/>
  <c r="G120" i="202"/>
  <c r="F120" i="202"/>
  <c r="E120" i="202"/>
  <c r="D120" i="202"/>
  <c r="C120" i="202"/>
  <c r="K116" i="202"/>
  <c r="J116" i="202"/>
  <c r="I116" i="202"/>
  <c r="H116" i="202"/>
  <c r="G116" i="202"/>
  <c r="F116" i="202"/>
  <c r="E116" i="202"/>
  <c r="D116" i="202"/>
  <c r="C116" i="202"/>
  <c r="K115" i="202"/>
  <c r="J115" i="202"/>
  <c r="I115" i="202"/>
  <c r="H115" i="202"/>
  <c r="G115" i="202"/>
  <c r="F115" i="202"/>
  <c r="E115" i="202"/>
  <c r="D115" i="202"/>
  <c r="C115" i="202"/>
  <c r="C114" i="202"/>
  <c r="K113" i="202"/>
  <c r="J113" i="202"/>
  <c r="I113" i="202"/>
  <c r="H113" i="202"/>
  <c r="G113" i="202"/>
  <c r="F113" i="202"/>
  <c r="E113" i="202"/>
  <c r="D113" i="202"/>
  <c r="C113" i="202"/>
  <c r="C111" i="202"/>
  <c r="K112" i="202"/>
  <c r="J112" i="202"/>
  <c r="I112" i="202"/>
  <c r="H112" i="202"/>
  <c r="G112" i="202"/>
  <c r="F112" i="202"/>
  <c r="E112" i="202"/>
  <c r="D112" i="202"/>
  <c r="C112" i="202"/>
  <c r="K108" i="202"/>
  <c r="J108" i="202"/>
  <c r="I108" i="202"/>
  <c r="H108" i="202"/>
  <c r="G108" i="202"/>
  <c r="F108" i="202"/>
  <c r="E108" i="202"/>
  <c r="D108" i="202"/>
  <c r="C108" i="202"/>
  <c r="K107" i="202"/>
  <c r="J107" i="202"/>
  <c r="I107" i="202"/>
  <c r="H107" i="202"/>
  <c r="G107" i="202"/>
  <c r="F107" i="202"/>
  <c r="E107" i="202"/>
  <c r="D107" i="202"/>
  <c r="C107" i="202"/>
  <c r="K106" i="202"/>
  <c r="J106" i="202"/>
  <c r="I106" i="202"/>
  <c r="H106" i="202"/>
  <c r="G106" i="202"/>
  <c r="F106" i="202"/>
  <c r="E106" i="202"/>
  <c r="D106" i="202"/>
  <c r="C106" i="202"/>
  <c r="K105" i="202"/>
  <c r="J105" i="202"/>
  <c r="I105" i="202"/>
  <c r="H105" i="202"/>
  <c r="G105" i="202"/>
  <c r="F105" i="202"/>
  <c r="E105" i="202"/>
  <c r="D105" i="202"/>
  <c r="C105" i="202"/>
  <c r="K104" i="202"/>
  <c r="J104" i="202"/>
  <c r="I104" i="202"/>
  <c r="H104" i="202"/>
  <c r="G104" i="202"/>
  <c r="F104" i="202"/>
  <c r="E104" i="202"/>
  <c r="D104" i="202"/>
  <c r="C104" i="202"/>
  <c r="K101" i="202"/>
  <c r="J101" i="202"/>
  <c r="I101" i="202"/>
  <c r="H101" i="202"/>
  <c r="G101" i="202"/>
  <c r="F101" i="202"/>
  <c r="E101" i="202"/>
  <c r="D101" i="202"/>
  <c r="C101" i="202"/>
  <c r="K100" i="202"/>
  <c r="J100" i="202"/>
  <c r="I100" i="202"/>
  <c r="H100" i="202"/>
  <c r="G100" i="202"/>
  <c r="F100" i="202"/>
  <c r="E100" i="202"/>
  <c r="D100" i="202"/>
  <c r="C100" i="202"/>
  <c r="K99" i="202"/>
  <c r="J99" i="202"/>
  <c r="I99" i="202"/>
  <c r="H99" i="202"/>
  <c r="G99" i="202"/>
  <c r="F99" i="202"/>
  <c r="E99" i="202"/>
  <c r="D99" i="202"/>
  <c r="C99" i="202"/>
  <c r="K97" i="202"/>
  <c r="J97" i="202"/>
  <c r="I97" i="202"/>
  <c r="H97" i="202"/>
  <c r="G97" i="202"/>
  <c r="F97" i="202"/>
  <c r="E97" i="202"/>
  <c r="D97" i="202"/>
  <c r="C97" i="202"/>
  <c r="K96" i="202"/>
  <c r="J96" i="202"/>
  <c r="I96" i="202"/>
  <c r="H96" i="202"/>
  <c r="G96" i="202"/>
  <c r="F96" i="202"/>
  <c r="E96" i="202"/>
  <c r="D96" i="202"/>
  <c r="C96" i="202"/>
  <c r="K95" i="202"/>
  <c r="J95" i="202"/>
  <c r="I95" i="202"/>
  <c r="H95" i="202"/>
  <c r="G95" i="202"/>
  <c r="F95" i="202"/>
  <c r="E95" i="202"/>
  <c r="D95" i="202"/>
  <c r="C95" i="202"/>
  <c r="K94" i="202"/>
  <c r="J94" i="202"/>
  <c r="I94" i="202"/>
  <c r="H94" i="202"/>
  <c r="G94" i="202"/>
  <c r="F94" i="202"/>
  <c r="E94" i="202"/>
  <c r="D94" i="202"/>
  <c r="C94" i="202"/>
  <c r="K93" i="202"/>
  <c r="J93" i="202"/>
  <c r="I93" i="202"/>
  <c r="H93" i="202"/>
  <c r="G93" i="202"/>
  <c r="F93" i="202"/>
  <c r="E93" i="202"/>
  <c r="D93" i="202"/>
  <c r="C93" i="202"/>
  <c r="K92" i="202"/>
  <c r="J92" i="202"/>
  <c r="I92" i="202"/>
  <c r="H92" i="202"/>
  <c r="G92" i="202"/>
  <c r="F92" i="202"/>
  <c r="E92" i="202"/>
  <c r="D92" i="202"/>
  <c r="C92" i="202"/>
  <c r="K91" i="202"/>
  <c r="J91" i="202"/>
  <c r="I91" i="202"/>
  <c r="H91" i="202"/>
  <c r="G91" i="202"/>
  <c r="F91" i="202"/>
  <c r="E91" i="202"/>
  <c r="D91" i="202"/>
  <c r="C91" i="202"/>
  <c r="K90" i="202"/>
  <c r="J90" i="202"/>
  <c r="I90" i="202"/>
  <c r="H90" i="202"/>
  <c r="G90" i="202"/>
  <c r="F90" i="202"/>
  <c r="E90" i="202"/>
  <c r="D90" i="202"/>
  <c r="C90" i="202"/>
  <c r="K89" i="202"/>
  <c r="J89" i="202"/>
  <c r="I89" i="202"/>
  <c r="H89" i="202"/>
  <c r="G89" i="202"/>
  <c r="F89" i="202"/>
  <c r="E89" i="202"/>
  <c r="D89" i="202"/>
  <c r="C89" i="202"/>
  <c r="K88" i="202"/>
  <c r="J88" i="202"/>
  <c r="I88" i="202"/>
  <c r="H88" i="202"/>
  <c r="G88" i="202"/>
  <c r="F88" i="202"/>
  <c r="E88" i="202"/>
  <c r="D88" i="202"/>
  <c r="C88" i="202"/>
  <c r="K87" i="202"/>
  <c r="J87" i="202"/>
  <c r="I87" i="202"/>
  <c r="H87" i="202"/>
  <c r="G87" i="202"/>
  <c r="F87" i="202"/>
  <c r="E87" i="202"/>
  <c r="D87" i="202"/>
  <c r="C87" i="202"/>
  <c r="K86" i="202"/>
  <c r="J86" i="202"/>
  <c r="I86" i="202"/>
  <c r="H86" i="202"/>
  <c r="G86" i="202"/>
  <c r="F86" i="202"/>
  <c r="E86" i="202"/>
  <c r="D86" i="202"/>
  <c r="C86" i="202"/>
  <c r="K85" i="202"/>
  <c r="J85" i="202"/>
  <c r="I85" i="202"/>
  <c r="H85" i="202"/>
  <c r="G85" i="202"/>
  <c r="F85" i="202"/>
  <c r="E85" i="202"/>
  <c r="D85" i="202"/>
  <c r="C85" i="202"/>
  <c r="K84" i="202"/>
  <c r="J84" i="202"/>
  <c r="I84" i="202"/>
  <c r="H84" i="202"/>
  <c r="G84" i="202"/>
  <c r="F84" i="202"/>
  <c r="E84" i="202"/>
  <c r="D84" i="202"/>
  <c r="C84" i="202"/>
  <c r="K83" i="202"/>
  <c r="J83" i="202"/>
  <c r="I83" i="202"/>
  <c r="H83" i="202"/>
  <c r="G83" i="202"/>
  <c r="F83" i="202"/>
  <c r="E83" i="202"/>
  <c r="D83" i="202"/>
  <c r="C83" i="202"/>
  <c r="K82" i="202"/>
  <c r="J82" i="202"/>
  <c r="I82" i="202"/>
  <c r="H82" i="202"/>
  <c r="G82" i="202"/>
  <c r="F82" i="202"/>
  <c r="E82" i="202"/>
  <c r="D82" i="202"/>
  <c r="C82" i="202"/>
  <c r="K81" i="202"/>
  <c r="J81" i="202"/>
  <c r="I81" i="202"/>
  <c r="H81" i="202"/>
  <c r="G81" i="202"/>
  <c r="F81" i="202"/>
  <c r="E81" i="202"/>
  <c r="D81" i="202"/>
  <c r="C81" i="202"/>
  <c r="K80" i="202"/>
  <c r="J80" i="202"/>
  <c r="I80" i="202"/>
  <c r="H80" i="202"/>
  <c r="G80" i="202"/>
  <c r="F80" i="202"/>
  <c r="E80" i="202"/>
  <c r="D80" i="202"/>
  <c r="C80" i="202"/>
  <c r="K79" i="202"/>
  <c r="J79" i="202"/>
  <c r="I79" i="202"/>
  <c r="H79" i="202"/>
  <c r="G79" i="202"/>
  <c r="F79" i="202"/>
  <c r="E79" i="202"/>
  <c r="D79" i="202"/>
  <c r="C79" i="202"/>
  <c r="K78" i="202"/>
  <c r="J78" i="202"/>
  <c r="I78" i="202"/>
  <c r="H78" i="202"/>
  <c r="G78" i="202"/>
  <c r="F78" i="202"/>
  <c r="E78" i="202"/>
  <c r="D78" i="202"/>
  <c r="C78" i="202"/>
  <c r="K77" i="202"/>
  <c r="J77" i="202"/>
  <c r="I77" i="202"/>
  <c r="H77" i="202"/>
  <c r="G77" i="202"/>
  <c r="F77" i="202"/>
  <c r="E77" i="202"/>
  <c r="D77" i="202"/>
  <c r="C77" i="202"/>
  <c r="K76" i="202"/>
  <c r="J76" i="202"/>
  <c r="I76" i="202"/>
  <c r="H76" i="202"/>
  <c r="G76" i="202"/>
  <c r="F76" i="202"/>
  <c r="E76" i="202"/>
  <c r="D76" i="202"/>
  <c r="C76" i="202"/>
  <c r="K72" i="202"/>
  <c r="J72" i="202"/>
  <c r="I72" i="202"/>
  <c r="H72" i="202"/>
  <c r="G72" i="202"/>
  <c r="F72" i="202"/>
  <c r="E72" i="202"/>
  <c r="D72" i="202"/>
  <c r="C72" i="202"/>
  <c r="K71" i="202"/>
  <c r="J71" i="202"/>
  <c r="I71" i="202"/>
  <c r="H71" i="202"/>
  <c r="G71" i="202"/>
  <c r="F71" i="202"/>
  <c r="E71" i="202"/>
  <c r="D71" i="202"/>
  <c r="C71" i="202"/>
  <c r="K70" i="202"/>
  <c r="J70" i="202"/>
  <c r="I70" i="202"/>
  <c r="H70" i="202"/>
  <c r="G70" i="202"/>
  <c r="F70" i="202"/>
  <c r="E70" i="202"/>
  <c r="D70" i="202"/>
  <c r="C70" i="202"/>
  <c r="K69" i="202"/>
  <c r="J69" i="202"/>
  <c r="I69" i="202"/>
  <c r="H69" i="202"/>
  <c r="G69" i="202"/>
  <c r="F69" i="202"/>
  <c r="E69" i="202"/>
  <c r="D69" i="202"/>
  <c r="C69" i="202"/>
  <c r="K67" i="202"/>
  <c r="J67" i="202"/>
  <c r="I67" i="202"/>
  <c r="H67" i="202"/>
  <c r="G67" i="202"/>
  <c r="F67" i="202"/>
  <c r="E67" i="202"/>
  <c r="D67" i="202"/>
  <c r="C67" i="202"/>
  <c r="K66" i="202"/>
  <c r="J66" i="202"/>
  <c r="I66" i="202"/>
  <c r="H66" i="202"/>
  <c r="G66" i="202"/>
  <c r="F66" i="202"/>
  <c r="E66" i="202"/>
  <c r="D66" i="202"/>
  <c r="C66" i="202"/>
  <c r="K65" i="202"/>
  <c r="J65" i="202"/>
  <c r="I65" i="202"/>
  <c r="H65" i="202"/>
  <c r="G65" i="202"/>
  <c r="F65" i="202"/>
  <c r="E65" i="202"/>
  <c r="D65" i="202"/>
  <c r="C65" i="202"/>
  <c r="K64" i="202"/>
  <c r="J64" i="202"/>
  <c r="I64" i="202"/>
  <c r="H64" i="202"/>
  <c r="G64" i="202"/>
  <c r="F64" i="202"/>
  <c r="E64" i="202"/>
  <c r="D64" i="202"/>
  <c r="C64" i="202"/>
  <c r="K63" i="202"/>
  <c r="J63" i="202"/>
  <c r="I63" i="202"/>
  <c r="H63" i="202"/>
  <c r="G63" i="202"/>
  <c r="F63" i="202"/>
  <c r="E63" i="202"/>
  <c r="D63" i="202"/>
  <c r="C63" i="202"/>
  <c r="K61" i="202"/>
  <c r="J61" i="202"/>
  <c r="I61" i="202"/>
  <c r="H61" i="202"/>
  <c r="G61" i="202"/>
  <c r="F61" i="202"/>
  <c r="E61" i="202"/>
  <c r="D61" i="202"/>
  <c r="C61" i="202"/>
  <c r="K60" i="202"/>
  <c r="J60" i="202"/>
  <c r="I60" i="202"/>
  <c r="H60" i="202"/>
  <c r="G60" i="202"/>
  <c r="F60" i="202"/>
  <c r="E60" i="202"/>
  <c r="D60" i="202"/>
  <c r="C60" i="202"/>
  <c r="K59" i="202"/>
  <c r="J59" i="202"/>
  <c r="I59" i="202"/>
  <c r="H59" i="202"/>
  <c r="G59" i="202"/>
  <c r="F59" i="202"/>
  <c r="E59" i="202"/>
  <c r="D59" i="202"/>
  <c r="C59" i="202"/>
  <c r="K58" i="202"/>
  <c r="J58" i="202"/>
  <c r="I58" i="202"/>
  <c r="H58" i="202"/>
  <c r="G58" i="202"/>
  <c r="F58" i="202"/>
  <c r="E58" i="202"/>
  <c r="D58" i="202"/>
  <c r="C58" i="202"/>
  <c r="K57" i="202"/>
  <c r="J57" i="202"/>
  <c r="I57" i="202"/>
  <c r="H57" i="202"/>
  <c r="G57" i="202"/>
  <c r="F57" i="202"/>
  <c r="E57" i="202"/>
  <c r="D57" i="202"/>
  <c r="C57" i="202"/>
  <c r="K56" i="202"/>
  <c r="J56" i="202"/>
  <c r="I56" i="202"/>
  <c r="H56" i="202"/>
  <c r="G56" i="202"/>
  <c r="F56" i="202"/>
  <c r="E56" i="202"/>
  <c r="D56" i="202"/>
  <c r="C56" i="202"/>
  <c r="K55" i="202"/>
  <c r="J55" i="202"/>
  <c r="I55" i="202"/>
  <c r="H55" i="202"/>
  <c r="G55" i="202"/>
  <c r="F55" i="202"/>
  <c r="E55" i="202"/>
  <c r="D55" i="202"/>
  <c r="C55" i="202"/>
  <c r="K54" i="202"/>
  <c r="J54" i="202"/>
  <c r="I54" i="202"/>
  <c r="H54" i="202"/>
  <c r="G54" i="202"/>
  <c r="F54" i="202"/>
  <c r="E54" i="202"/>
  <c r="D54" i="202"/>
  <c r="C54" i="202"/>
  <c r="K53" i="202"/>
  <c r="J53" i="202"/>
  <c r="I53" i="202"/>
  <c r="H53" i="202"/>
  <c r="G53" i="202"/>
  <c r="F53" i="202"/>
  <c r="E53" i="202"/>
  <c r="D53" i="202"/>
  <c r="C53" i="202"/>
  <c r="K51" i="202"/>
  <c r="J51" i="202"/>
  <c r="I51" i="202"/>
  <c r="H51" i="202"/>
  <c r="G51" i="202"/>
  <c r="F51" i="202"/>
  <c r="E51" i="202"/>
  <c r="D51" i="202"/>
  <c r="C51" i="202"/>
  <c r="K50" i="202"/>
  <c r="J50" i="202"/>
  <c r="I50" i="202"/>
  <c r="H50" i="202"/>
  <c r="G50" i="202"/>
  <c r="F50" i="202"/>
  <c r="E50" i="202"/>
  <c r="D50" i="202"/>
  <c r="C50" i="202"/>
  <c r="K49" i="202"/>
  <c r="J49" i="202"/>
  <c r="I49" i="202"/>
  <c r="H49" i="202"/>
  <c r="G49" i="202"/>
  <c r="F49" i="202"/>
  <c r="E49" i="202"/>
  <c r="D49" i="202"/>
  <c r="C49" i="202"/>
  <c r="K48" i="202"/>
  <c r="J48" i="202"/>
  <c r="I48" i="202"/>
  <c r="H48" i="202"/>
  <c r="G48" i="202"/>
  <c r="F48" i="202"/>
  <c r="E48" i="202"/>
  <c r="D48" i="202"/>
  <c r="C48" i="202"/>
  <c r="K47" i="202"/>
  <c r="J47" i="202"/>
  <c r="I47" i="202"/>
  <c r="H47" i="202"/>
  <c r="G47" i="202"/>
  <c r="F47" i="202"/>
  <c r="E47" i="202"/>
  <c r="D47" i="202"/>
  <c r="C47" i="202"/>
  <c r="K46" i="202"/>
  <c r="J46" i="202"/>
  <c r="I46" i="202"/>
  <c r="H46" i="202"/>
  <c r="G46" i="202"/>
  <c r="F46" i="202"/>
  <c r="E46" i="202"/>
  <c r="D46" i="202"/>
  <c r="C46" i="202"/>
  <c r="K45" i="202"/>
  <c r="J45" i="202"/>
  <c r="I45" i="202"/>
  <c r="H45" i="202"/>
  <c r="G45" i="202"/>
  <c r="F45" i="202"/>
  <c r="E45" i="202"/>
  <c r="D45" i="202"/>
  <c r="C45" i="202"/>
  <c r="K43" i="202"/>
  <c r="J43" i="202"/>
  <c r="I43" i="202"/>
  <c r="H43" i="202"/>
  <c r="G43" i="202"/>
  <c r="F43" i="202"/>
  <c r="E43" i="202"/>
  <c r="D43" i="202"/>
  <c r="C43" i="202"/>
  <c r="K42" i="202"/>
  <c r="J42" i="202"/>
  <c r="I42" i="202"/>
  <c r="H42" i="202"/>
  <c r="G42" i="202"/>
  <c r="F42" i="202"/>
  <c r="E42" i="202"/>
  <c r="D42" i="202"/>
  <c r="C42" i="202"/>
  <c r="K41" i="202"/>
  <c r="J41" i="202"/>
  <c r="I41" i="202"/>
  <c r="H41" i="202"/>
  <c r="G41" i="202"/>
  <c r="F41" i="202"/>
  <c r="E41" i="202"/>
  <c r="D41" i="202"/>
  <c r="C41" i="202"/>
  <c r="K40" i="202"/>
  <c r="J40" i="202"/>
  <c r="I40" i="202"/>
  <c r="H40" i="202"/>
  <c r="G40" i="202"/>
  <c r="F40" i="202"/>
  <c r="E40" i="202"/>
  <c r="D40" i="202"/>
  <c r="C40" i="202"/>
  <c r="K39" i="202"/>
  <c r="J39" i="202"/>
  <c r="I39" i="202"/>
  <c r="H39" i="202"/>
  <c r="G39" i="202"/>
  <c r="F39" i="202"/>
  <c r="E39" i="202"/>
  <c r="D39" i="202"/>
  <c r="C39" i="202"/>
  <c r="K38" i="202"/>
  <c r="J38" i="202"/>
  <c r="I38" i="202"/>
  <c r="H38" i="202"/>
  <c r="G38" i="202"/>
  <c r="F38" i="202"/>
  <c r="E38" i="202"/>
  <c r="D38" i="202"/>
  <c r="C38" i="202"/>
  <c r="K36" i="202"/>
  <c r="J36" i="202"/>
  <c r="I36" i="202"/>
  <c r="H36" i="202"/>
  <c r="G36" i="202"/>
  <c r="F36" i="202"/>
  <c r="E36" i="202"/>
  <c r="D36" i="202"/>
  <c r="C36" i="202"/>
  <c r="K35" i="202"/>
  <c r="J35" i="202"/>
  <c r="I35" i="202"/>
  <c r="H35" i="202"/>
  <c r="G35" i="202"/>
  <c r="F35" i="202"/>
  <c r="E35" i="202"/>
  <c r="D35" i="202"/>
  <c r="C35" i="202"/>
  <c r="K34" i="202"/>
  <c r="J34" i="202"/>
  <c r="I34" i="202"/>
  <c r="H34" i="202"/>
  <c r="G34" i="202"/>
  <c r="F34" i="202"/>
  <c r="E34" i="202"/>
  <c r="D34" i="202"/>
  <c r="C34" i="202"/>
  <c r="K33" i="202"/>
  <c r="J33" i="202"/>
  <c r="I33" i="202"/>
  <c r="H33" i="202"/>
  <c r="G33" i="202"/>
  <c r="F33" i="202"/>
  <c r="E33" i="202"/>
  <c r="D33" i="202"/>
  <c r="C33" i="202"/>
  <c r="K32" i="202"/>
  <c r="J32" i="202"/>
  <c r="I32" i="202"/>
  <c r="H32" i="202"/>
  <c r="G32" i="202"/>
  <c r="F32" i="202"/>
  <c r="E32" i="202"/>
  <c r="D32" i="202"/>
  <c r="C32" i="202"/>
  <c r="K31" i="202"/>
  <c r="J31" i="202"/>
  <c r="I31" i="202"/>
  <c r="H31" i="202"/>
  <c r="G31" i="202"/>
  <c r="F31" i="202"/>
  <c r="E31" i="202"/>
  <c r="D31" i="202"/>
  <c r="C31" i="202"/>
  <c r="K30" i="202"/>
  <c r="J30" i="202"/>
  <c r="I30" i="202"/>
  <c r="H30" i="202"/>
  <c r="G30" i="202"/>
  <c r="F30" i="202"/>
  <c r="E30" i="202"/>
  <c r="D30" i="202"/>
  <c r="C30" i="202"/>
  <c r="K29" i="202"/>
  <c r="J29" i="202"/>
  <c r="I29" i="202"/>
  <c r="H29" i="202"/>
  <c r="G29" i="202"/>
  <c r="F29" i="202"/>
  <c r="E29" i="202"/>
  <c r="D29" i="202"/>
  <c r="C29" i="202"/>
  <c r="K28" i="202"/>
  <c r="J28" i="202"/>
  <c r="I28" i="202"/>
  <c r="H28" i="202"/>
  <c r="G28" i="202"/>
  <c r="F28" i="202"/>
  <c r="E28" i="202"/>
  <c r="D28" i="202"/>
  <c r="C28" i="202"/>
  <c r="K27" i="202"/>
  <c r="J27" i="202"/>
  <c r="I27" i="202"/>
  <c r="H27" i="202"/>
  <c r="G27" i="202"/>
  <c r="F27" i="202"/>
  <c r="E27" i="202"/>
  <c r="D27" i="202"/>
  <c r="C27" i="202"/>
  <c r="K25" i="202"/>
  <c r="J25" i="202"/>
  <c r="I25" i="202"/>
  <c r="H25" i="202"/>
  <c r="G25" i="202"/>
  <c r="F25" i="202"/>
  <c r="E25" i="202"/>
  <c r="D25" i="202"/>
  <c r="C25" i="202"/>
  <c r="K24" i="202"/>
  <c r="J24" i="202"/>
  <c r="I24" i="202"/>
  <c r="H24" i="202"/>
  <c r="G24" i="202"/>
  <c r="F24" i="202"/>
  <c r="E24" i="202"/>
  <c r="D24" i="202"/>
  <c r="C24" i="202"/>
  <c r="K23" i="202"/>
  <c r="J23" i="202"/>
  <c r="I23" i="202"/>
  <c r="H23" i="202"/>
  <c r="G23" i="202"/>
  <c r="F23" i="202"/>
  <c r="E23" i="202"/>
  <c r="D23" i="202"/>
  <c r="C23" i="202"/>
  <c r="K22" i="202"/>
  <c r="J22" i="202"/>
  <c r="I22" i="202"/>
  <c r="H22" i="202"/>
  <c r="G22" i="202"/>
  <c r="F22" i="202"/>
  <c r="E22" i="202"/>
  <c r="D22" i="202"/>
  <c r="C22" i="202"/>
  <c r="K21" i="202"/>
  <c r="J21" i="202"/>
  <c r="I21" i="202"/>
  <c r="H21" i="202"/>
  <c r="G21" i="202"/>
  <c r="F21" i="202"/>
  <c r="E21" i="202"/>
  <c r="D21" i="202"/>
  <c r="C21" i="202"/>
  <c r="K20" i="202"/>
  <c r="J20" i="202"/>
  <c r="I20" i="202"/>
  <c r="H20" i="202"/>
  <c r="G20" i="202"/>
  <c r="F20" i="202"/>
  <c r="E20" i="202"/>
  <c r="D20" i="202"/>
  <c r="C20" i="202"/>
  <c r="K19" i="202"/>
  <c r="J19" i="202"/>
  <c r="I19" i="202"/>
  <c r="H19" i="202"/>
  <c r="G19" i="202"/>
  <c r="F19" i="202"/>
  <c r="E19" i="202"/>
  <c r="D19" i="202"/>
  <c r="C19" i="202"/>
  <c r="K18" i="202"/>
  <c r="J18" i="202"/>
  <c r="I18" i="202"/>
  <c r="H18" i="202"/>
  <c r="G18" i="202"/>
  <c r="F18" i="202"/>
  <c r="E18" i="202"/>
  <c r="D18" i="202"/>
  <c r="C18" i="202"/>
  <c r="K17" i="202"/>
  <c r="J17" i="202"/>
  <c r="I17" i="202"/>
  <c r="H17" i="202"/>
  <c r="G17" i="202"/>
  <c r="F17" i="202"/>
  <c r="E17" i="202"/>
  <c r="D17" i="202"/>
  <c r="C17" i="202"/>
  <c r="K15" i="202"/>
  <c r="J15" i="202"/>
  <c r="I15" i="202"/>
  <c r="H15" i="202"/>
  <c r="G15" i="202"/>
  <c r="F15" i="202"/>
  <c r="E15" i="202"/>
  <c r="D15" i="202"/>
  <c r="C15" i="202"/>
  <c r="K14" i="202"/>
  <c r="J14" i="202"/>
  <c r="I14" i="202"/>
  <c r="H14" i="202"/>
  <c r="G14" i="202"/>
  <c r="F14" i="202"/>
  <c r="E14" i="202"/>
  <c r="D14" i="202"/>
  <c r="C14" i="202"/>
  <c r="K13" i="202"/>
  <c r="J13" i="202"/>
  <c r="I13" i="202"/>
  <c r="H13" i="202"/>
  <c r="G13" i="202"/>
  <c r="F13" i="202"/>
  <c r="E13" i="202"/>
  <c r="D13" i="202"/>
  <c r="C13" i="202"/>
  <c r="K11" i="202"/>
  <c r="J11" i="202"/>
  <c r="I11" i="202"/>
  <c r="H11" i="202"/>
  <c r="G11" i="202"/>
  <c r="F11" i="202"/>
  <c r="E11" i="202"/>
  <c r="D11" i="202"/>
  <c r="C11" i="202"/>
  <c r="K10" i="202"/>
  <c r="J10" i="202"/>
  <c r="I10" i="202"/>
  <c r="H10" i="202"/>
  <c r="G10" i="202"/>
  <c r="F10" i="202"/>
  <c r="E10" i="202"/>
  <c r="D10" i="202"/>
  <c r="C10" i="202"/>
  <c r="K9" i="202"/>
  <c r="J9" i="202"/>
  <c r="I9" i="202"/>
  <c r="H9" i="202"/>
  <c r="G9" i="202"/>
  <c r="F9" i="202"/>
  <c r="E9" i="202"/>
  <c r="D9" i="202"/>
  <c r="C9" i="202"/>
  <c r="K8" i="202"/>
  <c r="J8" i="202"/>
  <c r="I8" i="202"/>
  <c r="H8" i="202"/>
  <c r="G8" i="202"/>
  <c r="F8" i="202"/>
  <c r="E8" i="202"/>
  <c r="D8" i="202"/>
  <c r="C8" i="202"/>
  <c r="F164" i="202"/>
  <c r="B95" i="100"/>
  <c r="A1" i="344" s="1"/>
  <c r="B96" i="100"/>
  <c r="A1" i="343" s="1"/>
  <c r="A179" i="344"/>
  <c r="J178" i="344"/>
  <c r="K174" i="344"/>
  <c r="K178" i="344" s="1"/>
  <c r="J174" i="344"/>
  <c r="I174" i="344"/>
  <c r="I178" i="344"/>
  <c r="H174" i="344"/>
  <c r="H178" i="344"/>
  <c r="G174" i="344"/>
  <c r="G178" i="344"/>
  <c r="F174" i="344"/>
  <c r="F178" i="344"/>
  <c r="E174" i="344"/>
  <c r="E178" i="344"/>
  <c r="D174" i="344"/>
  <c r="D178" i="344"/>
  <c r="C174" i="344"/>
  <c r="C178" i="344"/>
  <c r="K164" i="344"/>
  <c r="J164" i="344"/>
  <c r="I164" i="344"/>
  <c r="H164" i="344"/>
  <c r="G164" i="344"/>
  <c r="F164" i="344"/>
  <c r="E164" i="344"/>
  <c r="D164" i="344"/>
  <c r="C164" i="344"/>
  <c r="K161" i="344"/>
  <c r="J161" i="344"/>
  <c r="I161" i="344"/>
  <c r="H161" i="344"/>
  <c r="G161" i="344"/>
  <c r="F161" i="344"/>
  <c r="E161" i="344"/>
  <c r="D161" i="344"/>
  <c r="C161" i="344"/>
  <c r="K158" i="344"/>
  <c r="J158" i="344"/>
  <c r="I158" i="344"/>
  <c r="H158" i="344"/>
  <c r="G158" i="344"/>
  <c r="F158" i="344"/>
  <c r="E158" i="344"/>
  <c r="D158" i="344"/>
  <c r="C158" i="344"/>
  <c r="K155" i="344"/>
  <c r="J155" i="344"/>
  <c r="I155" i="344"/>
  <c r="H155" i="344"/>
  <c r="G155" i="344"/>
  <c r="F155" i="344"/>
  <c r="E155" i="344"/>
  <c r="D155" i="344"/>
  <c r="C155" i="344"/>
  <c r="K152" i="344"/>
  <c r="K167" i="344" s="1"/>
  <c r="J152" i="344"/>
  <c r="J167" i="344" s="1"/>
  <c r="I152" i="344"/>
  <c r="H152" i="344"/>
  <c r="G152" i="344"/>
  <c r="G167" i="344" s="1"/>
  <c r="G182" i="344" s="1"/>
  <c r="F152" i="344"/>
  <c r="F167" i="344" s="1"/>
  <c r="E152" i="344"/>
  <c r="E167" i="344" s="1"/>
  <c r="D152" i="344"/>
  <c r="C152" i="344"/>
  <c r="C167" i="344" s="1"/>
  <c r="C182" i="344" s="1"/>
  <c r="K149" i="344"/>
  <c r="J149" i="344"/>
  <c r="I149" i="344"/>
  <c r="H149" i="344"/>
  <c r="G149" i="344"/>
  <c r="F149" i="344"/>
  <c r="E149" i="344"/>
  <c r="D149" i="344"/>
  <c r="C149" i="344"/>
  <c r="K141" i="344"/>
  <c r="K139" i="344"/>
  <c r="J141" i="344"/>
  <c r="I141" i="344"/>
  <c r="H141" i="344"/>
  <c r="H139" i="344"/>
  <c r="G141" i="344"/>
  <c r="G139" i="344"/>
  <c r="F141" i="344"/>
  <c r="E141" i="344"/>
  <c r="E139" i="344"/>
  <c r="D141" i="344"/>
  <c r="D139" i="344"/>
  <c r="C141" i="344"/>
  <c r="C139" i="344"/>
  <c r="J139" i="344"/>
  <c r="I139" i="344"/>
  <c r="F139" i="344"/>
  <c r="K136" i="344"/>
  <c r="J136" i="344"/>
  <c r="I136" i="344"/>
  <c r="H136" i="344"/>
  <c r="G136" i="344"/>
  <c r="F136" i="344"/>
  <c r="E136" i="344"/>
  <c r="D136" i="344"/>
  <c r="C136" i="344"/>
  <c r="K131" i="344"/>
  <c r="J131" i="344"/>
  <c r="I131" i="344"/>
  <c r="H131" i="344"/>
  <c r="G131" i="344"/>
  <c r="G118" i="344"/>
  <c r="F131" i="344"/>
  <c r="E131" i="344"/>
  <c r="D131" i="344"/>
  <c r="D118" i="344"/>
  <c r="C131" i="344"/>
  <c r="K119" i="344"/>
  <c r="K118" i="344"/>
  <c r="J119" i="344"/>
  <c r="J118" i="344"/>
  <c r="I119" i="344"/>
  <c r="H119" i="344"/>
  <c r="G119" i="344"/>
  <c r="F119" i="344"/>
  <c r="F118" i="344"/>
  <c r="E119" i="344"/>
  <c r="E118" i="344"/>
  <c r="D119" i="344"/>
  <c r="C119" i="344"/>
  <c r="C118" i="344"/>
  <c r="I118" i="344"/>
  <c r="H118" i="344"/>
  <c r="K114" i="344"/>
  <c r="J114" i="344"/>
  <c r="I114" i="344"/>
  <c r="H114" i="344"/>
  <c r="H110" i="344"/>
  <c r="G114" i="344"/>
  <c r="F114" i="344"/>
  <c r="E114" i="344"/>
  <c r="D114" i="344"/>
  <c r="C114" i="344"/>
  <c r="K111" i="344"/>
  <c r="J111" i="344"/>
  <c r="J110" i="344"/>
  <c r="I111" i="344"/>
  <c r="H111" i="344"/>
  <c r="G111" i="344"/>
  <c r="G110" i="344"/>
  <c r="F111" i="344"/>
  <c r="F110" i="344"/>
  <c r="E111" i="344"/>
  <c r="D111" i="344"/>
  <c r="D110" i="344"/>
  <c r="C111" i="344"/>
  <c r="K110" i="344"/>
  <c r="C110" i="344"/>
  <c r="K103" i="344"/>
  <c r="J103" i="344"/>
  <c r="I103" i="344"/>
  <c r="H103" i="344"/>
  <c r="G103" i="344"/>
  <c r="F103" i="344"/>
  <c r="E103" i="344"/>
  <c r="D103" i="344"/>
  <c r="C103" i="344"/>
  <c r="K98" i="344"/>
  <c r="J98" i="344"/>
  <c r="I98" i="344"/>
  <c r="H98" i="344"/>
  <c r="H74" i="344"/>
  <c r="G98" i="344"/>
  <c r="F98" i="344"/>
  <c r="E98" i="344"/>
  <c r="E74" i="344"/>
  <c r="D98" i="344"/>
  <c r="C98" i="344"/>
  <c r="K75" i="344"/>
  <c r="K74" i="344"/>
  <c r="J75" i="344"/>
  <c r="J74" i="344"/>
  <c r="I75" i="344"/>
  <c r="H75" i="344"/>
  <c r="G75" i="344"/>
  <c r="G74" i="344"/>
  <c r="F75" i="344"/>
  <c r="F74" i="344"/>
  <c r="E75" i="344"/>
  <c r="D75" i="344"/>
  <c r="C75" i="344"/>
  <c r="C74" i="344"/>
  <c r="K68" i="344"/>
  <c r="J68" i="344"/>
  <c r="I68" i="344"/>
  <c r="H68" i="344"/>
  <c r="G68" i="344"/>
  <c r="F68" i="344"/>
  <c r="E68" i="344"/>
  <c r="D68" i="344"/>
  <c r="C68" i="344"/>
  <c r="K62" i="344"/>
  <c r="J62" i="344"/>
  <c r="I62" i="344"/>
  <c r="H62" i="344"/>
  <c r="G62" i="344"/>
  <c r="F62" i="344"/>
  <c r="E62" i="344"/>
  <c r="D62" i="344"/>
  <c r="D6" i="344"/>
  <c r="C62" i="344"/>
  <c r="K52" i="344"/>
  <c r="J52" i="344"/>
  <c r="I52" i="344"/>
  <c r="H52" i="344"/>
  <c r="G52" i="344"/>
  <c r="F52" i="344"/>
  <c r="E52" i="344"/>
  <c r="D52" i="344"/>
  <c r="C52" i="344"/>
  <c r="K44" i="344"/>
  <c r="J44" i="344"/>
  <c r="I44" i="344"/>
  <c r="H44" i="344"/>
  <c r="G44" i="344"/>
  <c r="F44" i="344"/>
  <c r="E44" i="344"/>
  <c r="D44" i="344"/>
  <c r="C44" i="344"/>
  <c r="K37" i="344"/>
  <c r="J37" i="344"/>
  <c r="I37" i="344"/>
  <c r="H37" i="344"/>
  <c r="G37" i="344"/>
  <c r="F37" i="344"/>
  <c r="E37" i="344"/>
  <c r="D37" i="344"/>
  <c r="C37" i="344"/>
  <c r="C6" i="344"/>
  <c r="K26" i="344"/>
  <c r="J26" i="344"/>
  <c r="I26" i="344"/>
  <c r="H26" i="344"/>
  <c r="G26" i="344"/>
  <c r="F26" i="344"/>
  <c r="E26" i="344"/>
  <c r="E6" i="344"/>
  <c r="D26" i="344"/>
  <c r="C26" i="344"/>
  <c r="K16" i="344"/>
  <c r="J16" i="344"/>
  <c r="J6" i="344"/>
  <c r="I16" i="344"/>
  <c r="H16" i="344"/>
  <c r="G16" i="344"/>
  <c r="F16" i="344"/>
  <c r="F6" i="344"/>
  <c r="E16" i="344"/>
  <c r="D16" i="344"/>
  <c r="C16" i="344"/>
  <c r="K12" i="344"/>
  <c r="K6" i="344"/>
  <c r="J12" i="344"/>
  <c r="I12" i="344"/>
  <c r="H12" i="344"/>
  <c r="G12" i="344"/>
  <c r="F12" i="344"/>
  <c r="E12" i="344"/>
  <c r="D12" i="344"/>
  <c r="C12" i="344"/>
  <c r="K7" i="344"/>
  <c r="J7" i="344"/>
  <c r="I7" i="344"/>
  <c r="H7" i="344"/>
  <c r="H6" i="344"/>
  <c r="H167" i="344"/>
  <c r="G7" i="344"/>
  <c r="F7" i="344"/>
  <c r="E7" i="344"/>
  <c r="D7" i="344"/>
  <c r="C7" i="344"/>
  <c r="H3" i="344"/>
  <c r="G3" i="344"/>
  <c r="F3" i="344"/>
  <c r="E3" i="344"/>
  <c r="D3" i="344"/>
  <c r="C3" i="344"/>
  <c r="I2" i="344"/>
  <c r="B2" i="344"/>
  <c r="A2" i="344"/>
  <c r="A179" i="343"/>
  <c r="E178" i="343"/>
  <c r="K174" i="343"/>
  <c r="K178" i="343"/>
  <c r="J174" i="343"/>
  <c r="J178" i="343"/>
  <c r="I174" i="343"/>
  <c r="I178" i="343"/>
  <c r="H174" i="343"/>
  <c r="H178" i="343"/>
  <c r="G174" i="343"/>
  <c r="G178" i="343"/>
  <c r="F174" i="343"/>
  <c r="F178" i="343"/>
  <c r="E174" i="343"/>
  <c r="D174" i="343"/>
  <c r="D178" i="343"/>
  <c r="C174" i="343"/>
  <c r="C178" i="343"/>
  <c r="K164" i="343"/>
  <c r="J164" i="343"/>
  <c r="I164" i="343"/>
  <c r="H164" i="343"/>
  <c r="G164" i="343"/>
  <c r="F164" i="343"/>
  <c r="E164" i="343"/>
  <c r="D164" i="343"/>
  <c r="C164" i="343"/>
  <c r="K161" i="343"/>
  <c r="J161" i="343"/>
  <c r="I161" i="343"/>
  <c r="H161" i="343"/>
  <c r="G161" i="343"/>
  <c r="F161" i="343"/>
  <c r="E161" i="343"/>
  <c r="D161" i="343"/>
  <c r="C161" i="343"/>
  <c r="K158" i="343"/>
  <c r="J158" i="343"/>
  <c r="I158" i="343"/>
  <c r="H158" i="343"/>
  <c r="G158" i="343"/>
  <c r="F158" i="343"/>
  <c r="E158" i="343"/>
  <c r="D158" i="343"/>
  <c r="C158" i="343"/>
  <c r="K155" i="343"/>
  <c r="J155" i="343"/>
  <c r="I155" i="343"/>
  <c r="H155" i="343"/>
  <c r="G155" i="343"/>
  <c r="F155" i="343"/>
  <c r="E155" i="343"/>
  <c r="D155" i="343"/>
  <c r="C155" i="343"/>
  <c r="K152" i="343"/>
  <c r="J152" i="343"/>
  <c r="I152" i="343"/>
  <c r="H152" i="343"/>
  <c r="G152" i="343"/>
  <c r="F152" i="343"/>
  <c r="E152" i="343"/>
  <c r="D152" i="343"/>
  <c r="C152" i="343"/>
  <c r="K149" i="343"/>
  <c r="J149" i="343"/>
  <c r="I149" i="343"/>
  <c r="H149" i="343"/>
  <c r="G149" i="343"/>
  <c r="F149" i="343"/>
  <c r="E149" i="343"/>
  <c r="D149" i="343"/>
  <c r="C149" i="343"/>
  <c r="K141" i="343"/>
  <c r="K139" i="343"/>
  <c r="J141" i="343"/>
  <c r="J139" i="343"/>
  <c r="I141" i="343"/>
  <c r="I139" i="343"/>
  <c r="H141" i="343"/>
  <c r="G141" i="343"/>
  <c r="G139" i="343"/>
  <c r="F141" i="343"/>
  <c r="F139" i="343"/>
  <c r="E141" i="343"/>
  <c r="E139" i="343"/>
  <c r="D141" i="343"/>
  <c r="C141" i="343"/>
  <c r="C139" i="343"/>
  <c r="H139" i="343"/>
  <c r="D139" i="343"/>
  <c r="K136" i="343"/>
  <c r="J136" i="343"/>
  <c r="I136" i="343"/>
  <c r="H136" i="343"/>
  <c r="G136" i="343"/>
  <c r="F136" i="343"/>
  <c r="E136" i="343"/>
  <c r="D136" i="343"/>
  <c r="C136" i="343"/>
  <c r="K131" i="343"/>
  <c r="J131" i="343"/>
  <c r="I131" i="343"/>
  <c r="H131" i="343"/>
  <c r="G131" i="343"/>
  <c r="F131" i="343"/>
  <c r="E131" i="343"/>
  <c r="E118" i="343"/>
  <c r="D131" i="343"/>
  <c r="D118" i="343"/>
  <c r="C131" i="343"/>
  <c r="K119" i="343"/>
  <c r="K118" i="343"/>
  <c r="J119" i="343"/>
  <c r="I119" i="343"/>
  <c r="I118" i="343"/>
  <c r="H119" i="343"/>
  <c r="G119" i="343"/>
  <c r="G118" i="343"/>
  <c r="F119" i="343"/>
  <c r="F118" i="343"/>
  <c r="E119" i="343"/>
  <c r="D119" i="343"/>
  <c r="C119" i="343"/>
  <c r="C118" i="343"/>
  <c r="K114" i="343"/>
  <c r="J114" i="343"/>
  <c r="I114" i="343"/>
  <c r="I110" i="343"/>
  <c r="H114" i="343"/>
  <c r="G114" i="343"/>
  <c r="F114" i="343"/>
  <c r="E114" i="343"/>
  <c r="D114" i="343"/>
  <c r="C114" i="343"/>
  <c r="K111" i="343"/>
  <c r="K110" i="343"/>
  <c r="J111" i="343"/>
  <c r="I111" i="343"/>
  <c r="H111" i="343"/>
  <c r="G111" i="343"/>
  <c r="G110" i="343"/>
  <c r="F111" i="343"/>
  <c r="E111" i="343"/>
  <c r="D111" i="343"/>
  <c r="D110" i="343"/>
  <c r="C111" i="343"/>
  <c r="C110" i="343"/>
  <c r="J110" i="343"/>
  <c r="F110" i="343"/>
  <c r="K103" i="343"/>
  <c r="J103" i="343"/>
  <c r="I103" i="343"/>
  <c r="H103" i="343"/>
  <c r="G103" i="343"/>
  <c r="F103" i="343"/>
  <c r="E103" i="343"/>
  <c r="D103" i="343"/>
  <c r="C103" i="343"/>
  <c r="K98" i="343"/>
  <c r="J98" i="343"/>
  <c r="I98" i="343"/>
  <c r="H98" i="343"/>
  <c r="G98" i="343"/>
  <c r="F98" i="343"/>
  <c r="E98" i="343"/>
  <c r="D98" i="343"/>
  <c r="C98" i="343"/>
  <c r="K75" i="343"/>
  <c r="J75" i="343"/>
  <c r="I75" i="343"/>
  <c r="H75" i="343"/>
  <c r="H74" i="343"/>
  <c r="G75" i="343"/>
  <c r="G74" i="343"/>
  <c r="F75" i="343"/>
  <c r="E75" i="343"/>
  <c r="D75" i="343"/>
  <c r="D74" i="343"/>
  <c r="C75" i="343"/>
  <c r="C74" i="343"/>
  <c r="J74" i="343"/>
  <c r="K68" i="343"/>
  <c r="J68" i="343"/>
  <c r="I68" i="343"/>
  <c r="H68" i="343"/>
  <c r="G68" i="343"/>
  <c r="F68" i="343"/>
  <c r="E68" i="343"/>
  <c r="D68" i="343"/>
  <c r="C68" i="343"/>
  <c r="K62" i="343"/>
  <c r="J62" i="343"/>
  <c r="I62" i="343"/>
  <c r="H62" i="343"/>
  <c r="G62" i="343"/>
  <c r="F62" i="343"/>
  <c r="E62" i="343"/>
  <c r="D62" i="343"/>
  <c r="C62" i="343"/>
  <c r="K52" i="343"/>
  <c r="J52" i="343"/>
  <c r="I52" i="343"/>
  <c r="H52" i="343"/>
  <c r="G52" i="343"/>
  <c r="F52" i="343"/>
  <c r="E52" i="343"/>
  <c r="D52" i="343"/>
  <c r="C52" i="343"/>
  <c r="K44" i="343"/>
  <c r="J44" i="343"/>
  <c r="I44" i="343"/>
  <c r="H44" i="343"/>
  <c r="G44" i="343"/>
  <c r="F44" i="343"/>
  <c r="E44" i="343"/>
  <c r="D44" i="343"/>
  <c r="C44" i="343"/>
  <c r="K37" i="343"/>
  <c r="J37" i="343"/>
  <c r="I37" i="343"/>
  <c r="H37" i="343"/>
  <c r="G37" i="343"/>
  <c r="F37" i="343"/>
  <c r="E37" i="343"/>
  <c r="D37" i="343"/>
  <c r="C37" i="343"/>
  <c r="K26" i="343"/>
  <c r="J26" i="343"/>
  <c r="I26" i="343"/>
  <c r="H26" i="343"/>
  <c r="G26" i="343"/>
  <c r="F26" i="343"/>
  <c r="F6" i="343"/>
  <c r="E26" i="343"/>
  <c r="D26" i="343"/>
  <c r="C26" i="343"/>
  <c r="K16" i="343"/>
  <c r="J16" i="343"/>
  <c r="I16" i="343"/>
  <c r="H16" i="343"/>
  <c r="G16" i="343"/>
  <c r="G6" i="343"/>
  <c r="G167" i="343"/>
  <c r="G182" i="343"/>
  <c r="F16" i="343"/>
  <c r="E16" i="343"/>
  <c r="D16" i="343"/>
  <c r="C16" i="343"/>
  <c r="C6" i="343"/>
  <c r="C167" i="343"/>
  <c r="C182" i="343"/>
  <c r="K12" i="343"/>
  <c r="J12" i="343"/>
  <c r="I12" i="343"/>
  <c r="H12" i="343"/>
  <c r="G12" i="343"/>
  <c r="F12" i="343"/>
  <c r="E12" i="343"/>
  <c r="D12" i="343"/>
  <c r="D6" i="343"/>
  <c r="D167" i="343"/>
  <c r="D182" i="343"/>
  <c r="C12" i="343"/>
  <c r="K7" i="343"/>
  <c r="J7" i="343"/>
  <c r="I7" i="343"/>
  <c r="H7" i="343"/>
  <c r="G7" i="343"/>
  <c r="F7" i="343"/>
  <c r="E7" i="343"/>
  <c r="D7" i="343"/>
  <c r="C7" i="343"/>
  <c r="H3" i="343"/>
  <c r="G3" i="343"/>
  <c r="F3" i="343"/>
  <c r="E3" i="343"/>
  <c r="D3" i="343"/>
  <c r="C3" i="343"/>
  <c r="I2" i="343"/>
  <c r="B2" i="343"/>
  <c r="A2" i="343"/>
  <c r="K164" i="342"/>
  <c r="J164" i="342"/>
  <c r="I164" i="342"/>
  <c r="H164" i="342"/>
  <c r="G164" i="342"/>
  <c r="F164" i="342"/>
  <c r="E164" i="342"/>
  <c r="D164" i="342"/>
  <c r="C164" i="342"/>
  <c r="K161" i="342"/>
  <c r="J161" i="342"/>
  <c r="I161" i="342"/>
  <c r="H161" i="342"/>
  <c r="G161" i="342"/>
  <c r="F161" i="342"/>
  <c r="E161" i="342"/>
  <c r="D161" i="342"/>
  <c r="C161" i="342"/>
  <c r="K158" i="342"/>
  <c r="J158" i="342"/>
  <c r="I158" i="342"/>
  <c r="H158" i="342"/>
  <c r="G158" i="342"/>
  <c r="F158" i="342"/>
  <c r="E158" i="342"/>
  <c r="D158" i="342"/>
  <c r="C158" i="342"/>
  <c r="K155" i="342"/>
  <c r="J155" i="342"/>
  <c r="I155" i="342"/>
  <c r="H155" i="342"/>
  <c r="G155" i="342"/>
  <c r="F155" i="342"/>
  <c r="E155" i="342"/>
  <c r="D155" i="342"/>
  <c r="C155" i="342"/>
  <c r="K152" i="342"/>
  <c r="K167" i="342" s="1"/>
  <c r="K182" i="342" s="1"/>
  <c r="J152" i="342"/>
  <c r="I152" i="342"/>
  <c r="I167" i="342" s="1"/>
  <c r="I182" i="342" s="1"/>
  <c r="H152" i="342"/>
  <c r="G152" i="342"/>
  <c r="F152" i="342"/>
  <c r="E152" i="342"/>
  <c r="E167" i="342" s="1"/>
  <c r="E182" i="342" s="1"/>
  <c r="D152" i="342"/>
  <c r="D167" i="342" s="1"/>
  <c r="D182" i="342" s="1"/>
  <c r="C152" i="342"/>
  <c r="K149" i="342"/>
  <c r="J149" i="342"/>
  <c r="I149" i="342"/>
  <c r="H149" i="342"/>
  <c r="G149" i="342"/>
  <c r="F149" i="342"/>
  <c r="E149" i="342"/>
  <c r="D149" i="342"/>
  <c r="C149" i="342"/>
  <c r="K141" i="342"/>
  <c r="K139" i="342"/>
  <c r="J141" i="342"/>
  <c r="I141" i="342"/>
  <c r="I139" i="342"/>
  <c r="H141" i="342"/>
  <c r="G141" i="342"/>
  <c r="G139" i="342"/>
  <c r="F141" i="342"/>
  <c r="F139" i="342"/>
  <c r="E141" i="342"/>
  <c r="E139" i="342"/>
  <c r="D141" i="342"/>
  <c r="D139" i="342"/>
  <c r="C141" i="342"/>
  <c r="C139" i="342"/>
  <c r="J139" i="342"/>
  <c r="H139" i="342"/>
  <c r="K136" i="342"/>
  <c r="J136" i="342"/>
  <c r="I136" i="342"/>
  <c r="H136" i="342"/>
  <c r="G136" i="342"/>
  <c r="F136" i="342"/>
  <c r="E136" i="342"/>
  <c r="D136" i="342"/>
  <c r="C136" i="342"/>
  <c r="K131" i="342"/>
  <c r="J131" i="342"/>
  <c r="I131" i="342"/>
  <c r="H131" i="342"/>
  <c r="G131" i="342"/>
  <c r="F131" i="342"/>
  <c r="E131" i="342"/>
  <c r="D131" i="342"/>
  <c r="D118" i="342"/>
  <c r="C131" i="342"/>
  <c r="K119" i="342"/>
  <c r="K118" i="342"/>
  <c r="J119" i="342"/>
  <c r="J118" i="342"/>
  <c r="I119" i="342"/>
  <c r="I118" i="342"/>
  <c r="H119" i="342"/>
  <c r="G119" i="342"/>
  <c r="G118" i="342"/>
  <c r="F119" i="342"/>
  <c r="F118" i="342"/>
  <c r="E119" i="342"/>
  <c r="E118" i="342"/>
  <c r="D119" i="342"/>
  <c r="C119" i="342"/>
  <c r="C118" i="342"/>
  <c r="C167" i="342"/>
  <c r="C182" i="342" s="1"/>
  <c r="K114" i="342"/>
  <c r="K110" i="342"/>
  <c r="J114" i="342"/>
  <c r="I114" i="342"/>
  <c r="H114" i="342"/>
  <c r="G114" i="342"/>
  <c r="F114" i="342"/>
  <c r="E114" i="342"/>
  <c r="D114" i="342"/>
  <c r="C114" i="342"/>
  <c r="K111" i="342"/>
  <c r="J111" i="342"/>
  <c r="I111" i="342"/>
  <c r="H111" i="342"/>
  <c r="H110" i="342"/>
  <c r="G111" i="342"/>
  <c r="F111" i="342"/>
  <c r="E111" i="342"/>
  <c r="D111" i="342"/>
  <c r="D110" i="342"/>
  <c r="C111" i="342"/>
  <c r="C110" i="342"/>
  <c r="K103" i="342"/>
  <c r="J103" i="342"/>
  <c r="I103" i="342"/>
  <c r="H103" i="342"/>
  <c r="G103" i="342"/>
  <c r="F103" i="342"/>
  <c r="E103" i="342"/>
  <c r="D103" i="342"/>
  <c r="C103" i="342"/>
  <c r="K98" i="342"/>
  <c r="K74" i="342"/>
  <c r="J98" i="342"/>
  <c r="I98" i="342"/>
  <c r="H98" i="342"/>
  <c r="H74" i="342"/>
  <c r="G98" i="342"/>
  <c r="F98" i="342"/>
  <c r="E98" i="342"/>
  <c r="D98" i="342"/>
  <c r="D74" i="342"/>
  <c r="C98" i="342"/>
  <c r="K75" i="342"/>
  <c r="J75" i="342"/>
  <c r="J74" i="342"/>
  <c r="J167" i="342"/>
  <c r="J182" i="342" s="1"/>
  <c r="I75" i="342"/>
  <c r="I74" i="342"/>
  <c r="H75" i="342"/>
  <c r="G75" i="342"/>
  <c r="F75" i="342"/>
  <c r="E75" i="342"/>
  <c r="E74" i="342"/>
  <c r="D75" i="342"/>
  <c r="C75" i="342"/>
  <c r="C74" i="342"/>
  <c r="K68" i="342"/>
  <c r="J68" i="342"/>
  <c r="I68" i="342"/>
  <c r="H68" i="342"/>
  <c r="G68" i="342"/>
  <c r="F68" i="342"/>
  <c r="E68" i="342"/>
  <c r="D68" i="342"/>
  <c r="C68" i="342"/>
  <c r="K62" i="342"/>
  <c r="J62" i="342"/>
  <c r="I62" i="342"/>
  <c r="H62" i="342"/>
  <c r="G62" i="342"/>
  <c r="F62" i="342"/>
  <c r="E62" i="342"/>
  <c r="D62" i="342"/>
  <c r="C62" i="342"/>
  <c r="K52" i="342"/>
  <c r="J52" i="342"/>
  <c r="I52" i="342"/>
  <c r="H52" i="342"/>
  <c r="G52" i="342"/>
  <c r="F52" i="342"/>
  <c r="E52" i="342"/>
  <c r="D52" i="342"/>
  <c r="C52" i="342"/>
  <c r="K44" i="342"/>
  <c r="J44" i="342"/>
  <c r="I44" i="342"/>
  <c r="H44" i="342"/>
  <c r="G44" i="342"/>
  <c r="F44" i="342"/>
  <c r="E44" i="342"/>
  <c r="D44" i="342"/>
  <c r="C44" i="342"/>
  <c r="K37" i="342"/>
  <c r="J37" i="342"/>
  <c r="I37" i="342"/>
  <c r="H37" i="342"/>
  <c r="G37" i="342"/>
  <c r="F37" i="342"/>
  <c r="E37" i="342"/>
  <c r="D37" i="342"/>
  <c r="C37" i="342"/>
  <c r="K26" i="342"/>
  <c r="J26" i="342"/>
  <c r="I26" i="342"/>
  <c r="H26" i="342"/>
  <c r="G26" i="342"/>
  <c r="G6" i="342"/>
  <c r="F26" i="342"/>
  <c r="E26" i="342"/>
  <c r="D26" i="342"/>
  <c r="C26" i="342"/>
  <c r="C6" i="342"/>
  <c r="K16" i="342"/>
  <c r="K6" i="342"/>
  <c r="J16" i="342"/>
  <c r="I16" i="342"/>
  <c r="H16" i="342"/>
  <c r="H6" i="342"/>
  <c r="G16" i="342"/>
  <c r="F16" i="342"/>
  <c r="E16" i="342"/>
  <c r="D16" i="342"/>
  <c r="D6" i="342"/>
  <c r="C16" i="342"/>
  <c r="K12" i="342"/>
  <c r="J12" i="342"/>
  <c r="I12" i="342"/>
  <c r="H12" i="342"/>
  <c r="G12" i="342"/>
  <c r="F12" i="342"/>
  <c r="E12" i="342"/>
  <c r="D12" i="342"/>
  <c r="C12" i="342"/>
  <c r="K7" i="342"/>
  <c r="J7" i="342"/>
  <c r="J6" i="342"/>
  <c r="I7" i="342"/>
  <c r="H7" i="342"/>
  <c r="G7" i="342"/>
  <c r="F7" i="342"/>
  <c r="E7" i="342"/>
  <c r="D7" i="342"/>
  <c r="C7" i="342"/>
  <c r="K164" i="341"/>
  <c r="J164" i="341"/>
  <c r="I164" i="341"/>
  <c r="H164" i="341"/>
  <c r="G164" i="341"/>
  <c r="F164" i="341"/>
  <c r="E164" i="341"/>
  <c r="D164" i="341"/>
  <c r="C164" i="341"/>
  <c r="K161" i="341"/>
  <c r="J161" i="341"/>
  <c r="I161" i="341"/>
  <c r="H161" i="341"/>
  <c r="G161" i="341"/>
  <c r="F161" i="341"/>
  <c r="E161" i="341"/>
  <c r="D161" i="341"/>
  <c r="C161" i="341"/>
  <c r="K158" i="341"/>
  <c r="J158" i="341"/>
  <c r="I158" i="341"/>
  <c r="H158" i="341"/>
  <c r="G158" i="341"/>
  <c r="F158" i="341"/>
  <c r="E158" i="341"/>
  <c r="D158" i="341"/>
  <c r="C158" i="341"/>
  <c r="K155" i="341"/>
  <c r="J155" i="341"/>
  <c r="I155" i="341"/>
  <c r="H155" i="341"/>
  <c r="G155" i="341"/>
  <c r="F155" i="341"/>
  <c r="E155" i="341"/>
  <c r="D155" i="341"/>
  <c r="C155" i="341"/>
  <c r="K152" i="341"/>
  <c r="J152" i="341"/>
  <c r="I152" i="341"/>
  <c r="H152" i="341"/>
  <c r="G152" i="341"/>
  <c r="F152" i="341"/>
  <c r="E152" i="341"/>
  <c r="D152" i="341"/>
  <c r="C152" i="341"/>
  <c r="K149" i="341"/>
  <c r="J149" i="341"/>
  <c r="I149" i="341"/>
  <c r="H149" i="341"/>
  <c r="G149" i="341"/>
  <c r="F149" i="341"/>
  <c r="E149" i="341"/>
  <c r="D149" i="341"/>
  <c r="C149" i="341"/>
  <c r="K141" i="341"/>
  <c r="K139" i="341"/>
  <c r="J141" i="341"/>
  <c r="J139" i="341"/>
  <c r="I141" i="341"/>
  <c r="I139" i="341"/>
  <c r="H141" i="341"/>
  <c r="H139" i="341"/>
  <c r="G141" i="341"/>
  <c r="G139" i="341"/>
  <c r="F141" i="341"/>
  <c r="F139" i="341"/>
  <c r="E141" i="341"/>
  <c r="E139" i="341"/>
  <c r="D141" i="341"/>
  <c r="D139" i="341"/>
  <c r="C141" i="341"/>
  <c r="C139" i="341"/>
  <c r="K136" i="341"/>
  <c r="J136" i="341"/>
  <c r="I136" i="341"/>
  <c r="H136" i="341"/>
  <c r="G136" i="341"/>
  <c r="F136" i="341"/>
  <c r="E136" i="341"/>
  <c r="D136" i="341"/>
  <c r="C136" i="341"/>
  <c r="K131" i="341"/>
  <c r="J131" i="341"/>
  <c r="I131" i="341"/>
  <c r="H131" i="341"/>
  <c r="G131" i="341"/>
  <c r="F131" i="341"/>
  <c r="F118" i="341"/>
  <c r="E131" i="341"/>
  <c r="D131" i="341"/>
  <c r="D118" i="341"/>
  <c r="C131" i="341"/>
  <c r="K119" i="341"/>
  <c r="J119" i="341"/>
  <c r="I119" i="341"/>
  <c r="I118" i="341"/>
  <c r="H119" i="341"/>
  <c r="H118" i="341"/>
  <c r="G119" i="341"/>
  <c r="F119" i="341"/>
  <c r="E119" i="341"/>
  <c r="E118" i="341"/>
  <c r="D119" i="341"/>
  <c r="C119" i="341"/>
  <c r="K114" i="341"/>
  <c r="J114" i="341"/>
  <c r="J110" i="341"/>
  <c r="I114" i="341"/>
  <c r="H114" i="341"/>
  <c r="G114" i="341"/>
  <c r="F114" i="341"/>
  <c r="F110" i="341"/>
  <c r="E114" i="341"/>
  <c r="D114" i="341"/>
  <c r="C114" i="341"/>
  <c r="C110" i="341"/>
  <c r="K111" i="341"/>
  <c r="K110" i="341"/>
  <c r="J111" i="341"/>
  <c r="I111" i="341"/>
  <c r="H111" i="341"/>
  <c r="H110" i="341"/>
  <c r="G111" i="341"/>
  <c r="F111" i="341"/>
  <c r="E111" i="341"/>
  <c r="D111" i="341"/>
  <c r="D110" i="341"/>
  <c r="C111" i="341"/>
  <c r="K103" i="341"/>
  <c r="J103" i="341"/>
  <c r="I103" i="341"/>
  <c r="H103" i="341"/>
  <c r="G103" i="341"/>
  <c r="F103" i="341"/>
  <c r="E103" i="341"/>
  <c r="D103" i="341"/>
  <c r="C103" i="341"/>
  <c r="K98" i="341"/>
  <c r="J98" i="341"/>
  <c r="I98" i="341"/>
  <c r="H98" i="341"/>
  <c r="G98" i="341"/>
  <c r="F98" i="341"/>
  <c r="E98" i="341"/>
  <c r="E74" i="341"/>
  <c r="D98" i="341"/>
  <c r="C98" i="341"/>
  <c r="K75" i="341"/>
  <c r="K74" i="341"/>
  <c r="J75" i="341"/>
  <c r="I75" i="341"/>
  <c r="H75" i="341"/>
  <c r="H74" i="341"/>
  <c r="G75" i="341"/>
  <c r="G74" i="341"/>
  <c r="F75" i="341"/>
  <c r="E75" i="341"/>
  <c r="D75" i="341"/>
  <c r="C75" i="341"/>
  <c r="C74" i="341"/>
  <c r="D74" i="341"/>
  <c r="K68" i="341"/>
  <c r="J68" i="341"/>
  <c r="I68" i="341"/>
  <c r="H68" i="341"/>
  <c r="G68" i="341"/>
  <c r="F68" i="341"/>
  <c r="E68" i="341"/>
  <c r="D68" i="341"/>
  <c r="C68" i="341"/>
  <c r="K62" i="341"/>
  <c r="J62" i="341"/>
  <c r="I62" i="341"/>
  <c r="H62" i="341"/>
  <c r="G62" i="341"/>
  <c r="F62" i="341"/>
  <c r="E62" i="341"/>
  <c r="D62" i="341"/>
  <c r="C62" i="341"/>
  <c r="K52" i="341"/>
  <c r="J52" i="341"/>
  <c r="I52" i="341"/>
  <c r="H52" i="341"/>
  <c r="G52" i="341"/>
  <c r="F52" i="341"/>
  <c r="E52" i="341"/>
  <c r="D52" i="341"/>
  <c r="C52" i="341"/>
  <c r="K44" i="341"/>
  <c r="J44" i="341"/>
  <c r="I44" i="341"/>
  <c r="H44" i="341"/>
  <c r="G44" i="341"/>
  <c r="F44" i="341"/>
  <c r="E44" i="341"/>
  <c r="D44" i="341"/>
  <c r="C44" i="341"/>
  <c r="K37" i="341"/>
  <c r="J37" i="341"/>
  <c r="J6" i="341"/>
  <c r="I37" i="341"/>
  <c r="H37" i="341"/>
  <c r="G37" i="341"/>
  <c r="F37" i="341"/>
  <c r="E37" i="341"/>
  <c r="D37" i="341"/>
  <c r="C37" i="341"/>
  <c r="K26" i="341"/>
  <c r="K6" i="341"/>
  <c r="J26" i="341"/>
  <c r="I26" i="341"/>
  <c r="H26" i="341"/>
  <c r="G26" i="341"/>
  <c r="G6" i="341"/>
  <c r="F26" i="341"/>
  <c r="E26" i="341"/>
  <c r="D26" i="341"/>
  <c r="C26" i="341"/>
  <c r="C6" i="341"/>
  <c r="K16" i="341"/>
  <c r="J16" i="341"/>
  <c r="I16" i="341"/>
  <c r="H16" i="341"/>
  <c r="H6" i="341"/>
  <c r="G16" i="341"/>
  <c r="F16" i="341"/>
  <c r="E16" i="341"/>
  <c r="D16" i="341"/>
  <c r="D6" i="341"/>
  <c r="D167" i="341"/>
  <c r="D182" i="341"/>
  <c r="C16" i="341"/>
  <c r="K12" i="341"/>
  <c r="J12" i="341"/>
  <c r="I12" i="341"/>
  <c r="H12" i="341"/>
  <c r="G12" i="341"/>
  <c r="F12" i="341"/>
  <c r="E12" i="341"/>
  <c r="D12" i="341"/>
  <c r="C12" i="341"/>
  <c r="K7" i="341"/>
  <c r="J7" i="341"/>
  <c r="I7" i="341"/>
  <c r="H7" i="341"/>
  <c r="G7" i="341"/>
  <c r="F7" i="341"/>
  <c r="E7" i="341"/>
  <c r="D7" i="341"/>
  <c r="C7" i="341"/>
  <c r="K164" i="284"/>
  <c r="J164" i="284"/>
  <c r="I164" i="284"/>
  <c r="H164" i="284"/>
  <c r="G164" i="284"/>
  <c r="F164" i="284"/>
  <c r="E164" i="284"/>
  <c r="D164" i="284"/>
  <c r="C164" i="284"/>
  <c r="K161" i="284"/>
  <c r="J161" i="284"/>
  <c r="I161" i="284"/>
  <c r="H161" i="284"/>
  <c r="G161" i="284"/>
  <c r="F161" i="284"/>
  <c r="E161" i="284"/>
  <c r="D161" i="284"/>
  <c r="C161" i="284"/>
  <c r="K158" i="284"/>
  <c r="J158" i="284"/>
  <c r="I158" i="284"/>
  <c r="H158" i="284"/>
  <c r="G158" i="284"/>
  <c r="F158" i="284"/>
  <c r="E158" i="284"/>
  <c r="D158" i="284"/>
  <c r="C158" i="284"/>
  <c r="K155" i="284"/>
  <c r="J155" i="284"/>
  <c r="I155" i="284"/>
  <c r="H155" i="284"/>
  <c r="G155" i="284"/>
  <c r="F155" i="284"/>
  <c r="E155" i="284"/>
  <c r="D155" i="284"/>
  <c r="C155" i="284"/>
  <c r="K152" i="284"/>
  <c r="J152" i="284"/>
  <c r="I152" i="284"/>
  <c r="H152" i="284"/>
  <c r="G152" i="284"/>
  <c r="F152" i="284"/>
  <c r="E152" i="284"/>
  <c r="D152" i="284"/>
  <c r="C152" i="284"/>
  <c r="K149" i="284"/>
  <c r="J149" i="284"/>
  <c r="I149" i="284"/>
  <c r="H149" i="284"/>
  <c r="G149" i="284"/>
  <c r="F149" i="284"/>
  <c r="E149" i="284"/>
  <c r="D149" i="284"/>
  <c r="C149" i="284"/>
  <c r="K141" i="284"/>
  <c r="K139" i="284"/>
  <c r="J141" i="284"/>
  <c r="J139" i="284"/>
  <c r="I141" i="284"/>
  <c r="I139" i="284"/>
  <c r="H141" i="284"/>
  <c r="G141" i="284"/>
  <c r="F141" i="284"/>
  <c r="F139" i="284"/>
  <c r="E141" i="284"/>
  <c r="E139" i="284"/>
  <c r="D141" i="284"/>
  <c r="D139" i="284"/>
  <c r="C141" i="284"/>
  <c r="C139" i="284"/>
  <c r="H139" i="284"/>
  <c r="G139" i="284"/>
  <c r="K136" i="284"/>
  <c r="J136" i="284"/>
  <c r="I136" i="284"/>
  <c r="H136" i="284"/>
  <c r="G136" i="284"/>
  <c r="F136" i="284"/>
  <c r="E136" i="284"/>
  <c r="D136" i="284"/>
  <c r="C136" i="284"/>
  <c r="K131" i="284"/>
  <c r="J131" i="284"/>
  <c r="I131" i="284"/>
  <c r="I118" i="284"/>
  <c r="H131" i="284"/>
  <c r="G131" i="284"/>
  <c r="F131" i="284"/>
  <c r="E131" i="284"/>
  <c r="E118" i="284"/>
  <c r="D131" i="284"/>
  <c r="D118" i="284"/>
  <c r="C131" i="284"/>
  <c r="C118" i="284"/>
  <c r="K119" i="284"/>
  <c r="K118" i="284"/>
  <c r="J119" i="284"/>
  <c r="I119" i="284"/>
  <c r="H119" i="284"/>
  <c r="G119" i="284"/>
  <c r="G118" i="284"/>
  <c r="F119" i="284"/>
  <c r="E119" i="284"/>
  <c r="D119" i="284"/>
  <c r="C119" i="284"/>
  <c r="K114" i="284"/>
  <c r="K110" i="284"/>
  <c r="J114" i="284"/>
  <c r="I114" i="284"/>
  <c r="H114" i="284"/>
  <c r="G114" i="284"/>
  <c r="F114" i="284"/>
  <c r="E114" i="284"/>
  <c r="D114" i="284"/>
  <c r="D110" i="284"/>
  <c r="C114" i="284"/>
  <c r="K111" i="284"/>
  <c r="J111" i="284"/>
  <c r="J110" i="284"/>
  <c r="I111" i="284"/>
  <c r="H111" i="284"/>
  <c r="G111" i="284"/>
  <c r="F111" i="284"/>
  <c r="F110" i="284"/>
  <c r="E111" i="284"/>
  <c r="E110" i="284"/>
  <c r="D111" i="284"/>
  <c r="C111" i="284"/>
  <c r="C110" i="284"/>
  <c r="K103" i="284"/>
  <c r="J103" i="284"/>
  <c r="I103" i="284"/>
  <c r="H103" i="284"/>
  <c r="G103" i="284"/>
  <c r="F103" i="284"/>
  <c r="E103" i="284"/>
  <c r="D103" i="284"/>
  <c r="C103" i="284"/>
  <c r="K98" i="284"/>
  <c r="K74" i="284"/>
  <c r="J98" i="284"/>
  <c r="I98" i="284"/>
  <c r="H98" i="284"/>
  <c r="G98" i="284"/>
  <c r="F98" i="284"/>
  <c r="E98" i="284"/>
  <c r="D98" i="284"/>
  <c r="C98" i="284"/>
  <c r="C74" i="284"/>
  <c r="K75" i="284"/>
  <c r="J75" i="284"/>
  <c r="J74" i="284"/>
  <c r="I75" i="284"/>
  <c r="H75" i="284"/>
  <c r="G75" i="284"/>
  <c r="F75" i="284"/>
  <c r="F74" i="284"/>
  <c r="E75" i="284"/>
  <c r="E74" i="284"/>
  <c r="D75" i="284"/>
  <c r="C75" i="284"/>
  <c r="K68" i="284"/>
  <c r="J68" i="284"/>
  <c r="I68" i="284"/>
  <c r="H68" i="284"/>
  <c r="G68" i="284"/>
  <c r="F68" i="284"/>
  <c r="E68" i="284"/>
  <c r="D68" i="284"/>
  <c r="C68" i="284"/>
  <c r="K62" i="284"/>
  <c r="J62" i="284"/>
  <c r="I62" i="284"/>
  <c r="H62" i="284"/>
  <c r="G62" i="284"/>
  <c r="F62" i="284"/>
  <c r="E62" i="284"/>
  <c r="D62" i="284"/>
  <c r="C62" i="284"/>
  <c r="K52" i="284"/>
  <c r="J52" i="284"/>
  <c r="I52" i="284"/>
  <c r="H52" i="284"/>
  <c r="G52" i="284"/>
  <c r="F52" i="284"/>
  <c r="E52" i="284"/>
  <c r="D52" i="284"/>
  <c r="C52" i="284"/>
  <c r="K44" i="284"/>
  <c r="J44" i="284"/>
  <c r="I44" i="284"/>
  <c r="H44" i="284"/>
  <c r="G44" i="284"/>
  <c r="F44" i="284"/>
  <c r="E44" i="284"/>
  <c r="D44" i="284"/>
  <c r="C44" i="284"/>
  <c r="K37" i="284"/>
  <c r="J37" i="284"/>
  <c r="I37" i="284"/>
  <c r="H37" i="284"/>
  <c r="G37" i="284"/>
  <c r="F37" i="284"/>
  <c r="E37" i="284"/>
  <c r="D37" i="284"/>
  <c r="C37" i="284"/>
  <c r="K26" i="284"/>
  <c r="J26" i="284"/>
  <c r="I26" i="284"/>
  <c r="H26" i="284"/>
  <c r="G26" i="284"/>
  <c r="F26" i="284"/>
  <c r="E26" i="284"/>
  <c r="E6" i="284"/>
  <c r="E167" i="284"/>
  <c r="E182" i="284" s="1"/>
  <c r="D26" i="284"/>
  <c r="C26" i="284"/>
  <c r="K16" i="284"/>
  <c r="J16" i="284"/>
  <c r="I16" i="284"/>
  <c r="H16" i="284"/>
  <c r="G16" i="284"/>
  <c r="F16" i="284"/>
  <c r="F6" i="284"/>
  <c r="E16" i="284"/>
  <c r="D16" i="284"/>
  <c r="C16" i="284"/>
  <c r="K12" i="284"/>
  <c r="K6" i="284"/>
  <c r="J12" i="284"/>
  <c r="I12" i="284"/>
  <c r="H12" i="284"/>
  <c r="G12" i="284"/>
  <c r="G6" i="284"/>
  <c r="F12" i="284"/>
  <c r="E12" i="284"/>
  <c r="D12" i="284"/>
  <c r="C12" i="284"/>
  <c r="C6" i="284"/>
  <c r="C167" i="284"/>
  <c r="C182" i="284" s="1"/>
  <c r="K7" i="284"/>
  <c r="J7" i="284"/>
  <c r="I7" i="284"/>
  <c r="H7" i="284"/>
  <c r="G7" i="284"/>
  <c r="F7" i="284"/>
  <c r="E7" i="284"/>
  <c r="D7" i="284"/>
  <c r="D6" i="284"/>
  <c r="C7" i="284"/>
  <c r="J5" i="279"/>
  <c r="I5" i="279"/>
  <c r="H5" i="279"/>
  <c r="G5" i="279"/>
  <c r="F5" i="279"/>
  <c r="E5" i="279"/>
  <c r="D5" i="279"/>
  <c r="C5" i="279"/>
  <c r="B5" i="279"/>
  <c r="H40" i="200"/>
  <c r="G40" i="200"/>
  <c r="D66" i="198"/>
  <c r="D33" i="198" s="1"/>
  <c r="Q48" i="204"/>
  <c r="P48" i="204"/>
  <c r="Q47" i="204"/>
  <c r="P47" i="204"/>
  <c r="Q46" i="204"/>
  <c r="P46" i="204"/>
  <c r="Q45" i="204"/>
  <c r="P45" i="204"/>
  <c r="Q44" i="204"/>
  <c r="P44" i="204"/>
  <c r="Q43" i="204"/>
  <c r="Q49" i="204"/>
  <c r="P43" i="204"/>
  <c r="O48" i="204"/>
  <c r="M48" i="204"/>
  <c r="O47" i="204"/>
  <c r="M47" i="204"/>
  <c r="O46" i="204"/>
  <c r="M46" i="204"/>
  <c r="O45" i="204"/>
  <c r="O44" i="204"/>
  <c r="O43" i="204"/>
  <c r="M43" i="204" s="1"/>
  <c r="O26" i="204"/>
  <c r="M26" i="204"/>
  <c r="N26" i="204" s="1"/>
  <c r="O27" i="204"/>
  <c r="O28" i="204"/>
  <c r="O29" i="204"/>
  <c r="M29" i="204"/>
  <c r="N29" i="204" s="1"/>
  <c r="O30" i="204"/>
  <c r="M30" i="204"/>
  <c r="N30" i="204"/>
  <c r="O31" i="204"/>
  <c r="M31" i="204"/>
  <c r="N31" i="204"/>
  <c r="O32" i="204"/>
  <c r="M32" i="204" s="1"/>
  <c r="N32" i="204" s="1"/>
  <c r="O33" i="204"/>
  <c r="M33" i="204"/>
  <c r="N33" i="204"/>
  <c r="O34" i="204"/>
  <c r="M34" i="204" s="1"/>
  <c r="N34" i="204" s="1"/>
  <c r="O35" i="204"/>
  <c r="M35" i="204"/>
  <c r="N35" i="204"/>
  <c r="O25" i="204"/>
  <c r="Q21" i="204"/>
  <c r="P21" i="204"/>
  <c r="Q20" i="204"/>
  <c r="P20" i="204"/>
  <c r="P22" i="204" s="1"/>
  <c r="Q19" i="204"/>
  <c r="P19" i="204"/>
  <c r="Q18" i="204"/>
  <c r="P18" i="204"/>
  <c r="Q17" i="204"/>
  <c r="P17" i="204"/>
  <c r="Q16" i="204"/>
  <c r="P16" i="204"/>
  <c r="Q15" i="204"/>
  <c r="P15" i="204"/>
  <c r="Q14" i="204"/>
  <c r="P14" i="204"/>
  <c r="Q13" i="204"/>
  <c r="P13" i="204"/>
  <c r="Q12" i="204"/>
  <c r="P12" i="204"/>
  <c r="Q11" i="204"/>
  <c r="P11" i="204"/>
  <c r="Q10" i="204"/>
  <c r="P10" i="204"/>
  <c r="Q9" i="204"/>
  <c r="P9" i="204"/>
  <c r="Q8" i="204"/>
  <c r="P8" i="204"/>
  <c r="Q7" i="204"/>
  <c r="P7" i="204"/>
  <c r="Q6" i="204"/>
  <c r="Q22" i="204"/>
  <c r="P6" i="204"/>
  <c r="O7" i="204"/>
  <c r="M7" i="204"/>
  <c r="O8" i="204"/>
  <c r="M8" i="204"/>
  <c r="O9" i="204"/>
  <c r="O10" i="204"/>
  <c r="M10" i="204"/>
  <c r="O11" i="204"/>
  <c r="M11" i="204"/>
  <c r="O12" i="204"/>
  <c r="M12" i="204"/>
  <c r="O13" i="204"/>
  <c r="M13" i="204"/>
  <c r="O14" i="204"/>
  <c r="M14" i="204"/>
  <c r="O15" i="204"/>
  <c r="M15" i="204"/>
  <c r="O16" i="204"/>
  <c r="M16" i="204"/>
  <c r="O17" i="204"/>
  <c r="M17" i="204"/>
  <c r="O18" i="204"/>
  <c r="M18" i="204"/>
  <c r="O19" i="204"/>
  <c r="M19" i="204"/>
  <c r="N19" i="204"/>
  <c r="O20" i="204"/>
  <c r="M20" i="204" s="1"/>
  <c r="M22" i="204" s="1"/>
  <c r="O21" i="204"/>
  <c r="M21" i="204"/>
  <c r="N21" i="204"/>
  <c r="O6" i="204"/>
  <c r="L22" i="204"/>
  <c r="K22" i="204"/>
  <c r="J22" i="204"/>
  <c r="I22" i="204"/>
  <c r="H22" i="204"/>
  <c r="G22" i="204"/>
  <c r="F22" i="204"/>
  <c r="E22" i="204"/>
  <c r="D22" i="204"/>
  <c r="C22" i="204"/>
  <c r="B22" i="204"/>
  <c r="J31" i="279"/>
  <c r="H31" i="279"/>
  <c r="F31" i="279"/>
  <c r="D31" i="279"/>
  <c r="B31" i="279"/>
  <c r="I30" i="279"/>
  <c r="G30" i="279"/>
  <c r="E30" i="279"/>
  <c r="C30" i="279"/>
  <c r="H29" i="279"/>
  <c r="F29" i="279"/>
  <c r="D47" i="198"/>
  <c r="A179" i="342"/>
  <c r="K174" i="342"/>
  <c r="K178" i="342"/>
  <c r="J174" i="342"/>
  <c r="J178" i="342"/>
  <c r="I174" i="342"/>
  <c r="I178" i="342"/>
  <c r="H174" i="342"/>
  <c r="H178" i="342"/>
  <c r="G174" i="342"/>
  <c r="G178" i="342"/>
  <c r="F174" i="342"/>
  <c r="F178" i="342"/>
  <c r="E174" i="342"/>
  <c r="E178" i="342"/>
  <c r="D174" i="342"/>
  <c r="D178" i="342"/>
  <c r="C174" i="342"/>
  <c r="C178" i="342"/>
  <c r="H3" i="342"/>
  <c r="G3" i="342"/>
  <c r="F3" i="342"/>
  <c r="E3" i="342"/>
  <c r="D3" i="342"/>
  <c r="C3" i="342"/>
  <c r="I2" i="342"/>
  <c r="B2" i="342"/>
  <c r="A2" i="342"/>
  <c r="A179" i="341"/>
  <c r="K174" i="341"/>
  <c r="K178" i="341"/>
  <c r="J174" i="341"/>
  <c r="J178" i="341"/>
  <c r="I174" i="341"/>
  <c r="I178" i="341"/>
  <c r="H174" i="341"/>
  <c r="H178" i="341"/>
  <c r="G174" i="341"/>
  <c r="G178" i="341"/>
  <c r="F174" i="341"/>
  <c r="F178" i="341"/>
  <c r="E174" i="341"/>
  <c r="E178" i="341"/>
  <c r="D174" i="341"/>
  <c r="D178" i="341"/>
  <c r="C174" i="341"/>
  <c r="C178" i="341"/>
  <c r="H3" i="341"/>
  <c r="G3" i="341"/>
  <c r="F3" i="341"/>
  <c r="E3" i="341"/>
  <c r="D3" i="341"/>
  <c r="C3" i="341"/>
  <c r="I2" i="341"/>
  <c r="B2" i="341"/>
  <c r="A2" i="341"/>
  <c r="K174" i="284"/>
  <c r="K178" i="284"/>
  <c r="J174" i="284"/>
  <c r="J178" i="284"/>
  <c r="I174" i="284"/>
  <c r="I178" i="284"/>
  <c r="H174" i="284"/>
  <c r="H178" i="284"/>
  <c r="G174" i="284"/>
  <c r="G178" i="284"/>
  <c r="F174" i="284"/>
  <c r="F178" i="284"/>
  <c r="E174" i="284"/>
  <c r="E178" i="284"/>
  <c r="D174" i="284"/>
  <c r="D178" i="284"/>
  <c r="C174" i="284"/>
  <c r="C178" i="284"/>
  <c r="H3" i="284"/>
  <c r="G3" i="284"/>
  <c r="F3" i="284"/>
  <c r="E3" i="284"/>
  <c r="D3" i="284"/>
  <c r="C3" i="284"/>
  <c r="B2" i="282"/>
  <c r="F24" i="282"/>
  <c r="A25" i="282"/>
  <c r="A2" i="283"/>
  <c r="B2" i="283"/>
  <c r="E2" i="283"/>
  <c r="D3" i="283"/>
  <c r="I3" i="283"/>
  <c r="J3" i="283"/>
  <c r="K3" i="283"/>
  <c r="L3" i="283"/>
  <c r="M3" i="283"/>
  <c r="N3" i="283"/>
  <c r="O3" i="283"/>
  <c r="O6" i="283"/>
  <c r="O9" i="283"/>
  <c r="O7" i="283"/>
  <c r="O8" i="283"/>
  <c r="C9" i="283"/>
  <c r="D9" i="283"/>
  <c r="E9" i="283"/>
  <c r="F9" i="283"/>
  <c r="G9" i="283"/>
  <c r="H9" i="283"/>
  <c r="I9" i="283"/>
  <c r="J9" i="283"/>
  <c r="K9" i="283"/>
  <c r="L9" i="283"/>
  <c r="M9" i="283"/>
  <c r="N9" i="283"/>
  <c r="O12" i="283"/>
  <c r="O15" i="283"/>
  <c r="O13" i="283"/>
  <c r="O14" i="283"/>
  <c r="C15" i="283"/>
  <c r="D15" i="283"/>
  <c r="E15" i="283"/>
  <c r="F15" i="283"/>
  <c r="G15" i="283"/>
  <c r="H15" i="283"/>
  <c r="I15" i="283"/>
  <c r="J15" i="283"/>
  <c r="K15" i="283"/>
  <c r="L15" i="283"/>
  <c r="M15" i="283"/>
  <c r="N15" i="283"/>
  <c r="O18" i="283"/>
  <c r="O19" i="283"/>
  <c r="O20" i="283"/>
  <c r="C21" i="283"/>
  <c r="D21" i="283"/>
  <c r="E21" i="283"/>
  <c r="F21" i="283"/>
  <c r="G21" i="283"/>
  <c r="H21" i="283"/>
  <c r="I21" i="283"/>
  <c r="J21" i="283"/>
  <c r="K21" i="283"/>
  <c r="L21" i="283"/>
  <c r="M21" i="283"/>
  <c r="M23" i="283"/>
  <c r="N21" i="283"/>
  <c r="C23" i="283"/>
  <c r="I23" i="283"/>
  <c r="K23" i="283"/>
  <c r="A24" i="283"/>
  <c r="B2" i="329"/>
  <c r="K2" i="329"/>
  <c r="I3" i="329"/>
  <c r="C24" i="329"/>
  <c r="H24" i="329"/>
  <c r="I24" i="329"/>
  <c r="J24" i="329"/>
  <c r="K24" i="329"/>
  <c r="L24" i="329"/>
  <c r="M24" i="329"/>
  <c r="N24" i="329"/>
  <c r="O24" i="329"/>
  <c r="A25" i="329"/>
  <c r="A2" i="330"/>
  <c r="B2" i="330"/>
  <c r="C2" i="330"/>
  <c r="I3" i="330"/>
  <c r="C12" i="330"/>
  <c r="D12" i="330"/>
  <c r="D34" i="330"/>
  <c r="E12" i="330"/>
  <c r="E34" i="330"/>
  <c r="F12" i="330"/>
  <c r="G12" i="330"/>
  <c r="H12" i="330"/>
  <c r="I12" i="330"/>
  <c r="C22" i="330"/>
  <c r="D22" i="330"/>
  <c r="E22" i="330"/>
  <c r="F22" i="330"/>
  <c r="G22" i="330"/>
  <c r="H22" i="330"/>
  <c r="H34" i="330"/>
  <c r="I22" i="330"/>
  <c r="C32" i="330"/>
  <c r="D32" i="330"/>
  <c r="E32" i="330"/>
  <c r="F32" i="330"/>
  <c r="G32" i="330"/>
  <c r="G34" i="330"/>
  <c r="H32" i="330"/>
  <c r="I32" i="330"/>
  <c r="A35" i="330"/>
  <c r="A2" i="284"/>
  <c r="B2" i="284"/>
  <c r="I2" i="284"/>
  <c r="A179" i="284"/>
  <c r="A2" i="204"/>
  <c r="O2" i="204"/>
  <c r="P25" i="204"/>
  <c r="Q25" i="204"/>
  <c r="P26" i="204"/>
  <c r="Q26" i="204"/>
  <c r="M27" i="204"/>
  <c r="N27" i="204"/>
  <c r="P27" i="204"/>
  <c r="Q27" i="204"/>
  <c r="P28" i="204"/>
  <c r="Q28" i="204"/>
  <c r="P29" i="204"/>
  <c r="Q29" i="204"/>
  <c r="P30" i="204"/>
  <c r="Q30" i="204"/>
  <c r="P31" i="204"/>
  <c r="Q31" i="204"/>
  <c r="P32" i="204"/>
  <c r="Q32" i="204"/>
  <c r="P33" i="204"/>
  <c r="Q33" i="204"/>
  <c r="P34" i="204"/>
  <c r="Q34" i="204"/>
  <c r="P35" i="204"/>
  <c r="Q35" i="204"/>
  <c r="B36" i="204"/>
  <c r="C36" i="204"/>
  <c r="D36" i="204"/>
  <c r="E36" i="204"/>
  <c r="F36" i="204"/>
  <c r="G36" i="204"/>
  <c r="H36" i="204"/>
  <c r="I36" i="204"/>
  <c r="J36" i="204"/>
  <c r="K36" i="204"/>
  <c r="L36" i="204"/>
  <c r="B40" i="204"/>
  <c r="C40" i="204"/>
  <c r="D40" i="204"/>
  <c r="E40" i="204"/>
  <c r="F40" i="204"/>
  <c r="G40" i="204"/>
  <c r="H40" i="204"/>
  <c r="I40" i="204"/>
  <c r="J40" i="204"/>
  <c r="K40" i="204"/>
  <c r="L40" i="204"/>
  <c r="N40" i="204"/>
  <c r="M45" i="204"/>
  <c r="B49" i="204"/>
  <c r="B62" i="204" s="1"/>
  <c r="C49" i="204"/>
  <c r="C62" i="204"/>
  <c r="D49" i="204"/>
  <c r="E49" i="204"/>
  <c r="F49" i="204"/>
  <c r="G49" i="204"/>
  <c r="G62" i="204"/>
  <c r="H49" i="204"/>
  <c r="I49" i="204"/>
  <c r="J49" i="204"/>
  <c r="K49" i="204"/>
  <c r="K62" i="204" s="1"/>
  <c r="L49" i="204"/>
  <c r="O51" i="204"/>
  <c r="M51" i="204"/>
  <c r="P51" i="204"/>
  <c r="Q51" i="204"/>
  <c r="O52" i="204"/>
  <c r="M52" i="204"/>
  <c r="P52" i="204"/>
  <c r="Q52" i="204"/>
  <c r="O53" i="204"/>
  <c r="P53" i="204"/>
  <c r="Q53" i="204"/>
  <c r="O54" i="204"/>
  <c r="M54" i="204"/>
  <c r="M55" i="204" s="1"/>
  <c r="N55" i="204" s="1"/>
  <c r="P54" i="204"/>
  <c r="Q54" i="204"/>
  <c r="B55" i="204"/>
  <c r="C55" i="204"/>
  <c r="D55" i="204"/>
  <c r="E55" i="204"/>
  <c r="F55" i="204"/>
  <c r="G55" i="204"/>
  <c r="H55" i="204"/>
  <c r="I55" i="204"/>
  <c r="J55" i="204"/>
  <c r="J62" i="204"/>
  <c r="K55" i="204"/>
  <c r="L55" i="204"/>
  <c r="O57" i="204"/>
  <c r="M57" i="204"/>
  <c r="P57" i="204"/>
  <c r="Q57" i="204"/>
  <c r="Q60" i="204"/>
  <c r="O58" i="204"/>
  <c r="P58" i="204"/>
  <c r="Q58" i="204"/>
  <c r="O59" i="204"/>
  <c r="M59" i="204"/>
  <c r="P59" i="204"/>
  <c r="Q59" i="204"/>
  <c r="B60" i="204"/>
  <c r="C60" i="204"/>
  <c r="D60" i="204"/>
  <c r="E60" i="204"/>
  <c r="F60" i="204"/>
  <c r="G60" i="204"/>
  <c r="H60" i="204"/>
  <c r="I60" i="204"/>
  <c r="J60" i="204"/>
  <c r="K60" i="204"/>
  <c r="L60" i="204"/>
  <c r="L62" i="204"/>
  <c r="B2" i="336"/>
  <c r="C10" i="336"/>
  <c r="D10" i="336"/>
  <c r="E10" i="336"/>
  <c r="F10" i="336"/>
  <c r="G10" i="336"/>
  <c r="H10" i="336"/>
  <c r="I10" i="336"/>
  <c r="J10" i="336"/>
  <c r="K10" i="336"/>
  <c r="C20" i="336"/>
  <c r="D20" i="336"/>
  <c r="E20" i="336"/>
  <c r="F20" i="336"/>
  <c r="G20" i="336"/>
  <c r="H20" i="336"/>
  <c r="I20" i="336"/>
  <c r="J20" i="336"/>
  <c r="K20" i="336"/>
  <c r="C36" i="336"/>
  <c r="D36" i="336"/>
  <c r="E36" i="336"/>
  <c r="H37" i="336" s="1"/>
  <c r="F36" i="336"/>
  <c r="G36" i="336"/>
  <c r="G37" i="336" s="1"/>
  <c r="H36" i="336"/>
  <c r="I36" i="336"/>
  <c r="I37" i="336" s="1"/>
  <c r="J36" i="336"/>
  <c r="K36" i="336"/>
  <c r="A43" i="336"/>
  <c r="B2" i="285"/>
  <c r="I2" i="285"/>
  <c r="C3" i="285"/>
  <c r="D3" i="285"/>
  <c r="E3" i="285"/>
  <c r="F3" i="285"/>
  <c r="G3" i="285"/>
  <c r="H3" i="285"/>
  <c r="C21" i="285"/>
  <c r="D21" i="285"/>
  <c r="E21" i="285"/>
  <c r="F21" i="285"/>
  <c r="G21" i="285"/>
  <c r="G22" i="285" s="1"/>
  <c r="H21" i="285"/>
  <c r="I21" i="285"/>
  <c r="I22" i="285"/>
  <c r="J21" i="285"/>
  <c r="J22" i="285" s="1"/>
  <c r="K21" i="285"/>
  <c r="C37" i="285"/>
  <c r="D37" i="285"/>
  <c r="E37" i="285"/>
  <c r="F37" i="285"/>
  <c r="G37" i="285"/>
  <c r="G38" i="285" s="1"/>
  <c r="H37" i="285"/>
  <c r="I37" i="285"/>
  <c r="J37" i="285"/>
  <c r="K37" i="285"/>
  <c r="C53" i="285"/>
  <c r="D53" i="285"/>
  <c r="E53" i="285"/>
  <c r="F53" i="285"/>
  <c r="G53" i="285"/>
  <c r="G54" i="285" s="1"/>
  <c r="H53" i="285"/>
  <c r="I53" i="285"/>
  <c r="J53" i="285"/>
  <c r="K53" i="285"/>
  <c r="A58" i="285"/>
  <c r="B2" i="243"/>
  <c r="F24" i="243"/>
  <c r="G24" i="243"/>
  <c r="H24" i="243"/>
  <c r="A25" i="243"/>
  <c r="C2" i="198"/>
  <c r="J2" i="198"/>
  <c r="D3" i="198"/>
  <c r="E3" i="198"/>
  <c r="F3" i="198"/>
  <c r="G3" i="198"/>
  <c r="H3" i="198"/>
  <c r="I3" i="198"/>
  <c r="A39" i="198"/>
  <c r="D39" i="198"/>
  <c r="E39" i="198"/>
  <c r="F39" i="198"/>
  <c r="G39" i="198"/>
  <c r="H39" i="198"/>
  <c r="I39" i="198"/>
  <c r="J39" i="198"/>
  <c r="K39" i="198"/>
  <c r="L39" i="198"/>
  <c r="A40" i="198"/>
  <c r="A41" i="198"/>
  <c r="D41" i="198"/>
  <c r="E41" i="198"/>
  <c r="F41" i="198"/>
  <c r="G41" i="198"/>
  <c r="H41" i="198"/>
  <c r="I41" i="198"/>
  <c r="J41" i="198"/>
  <c r="K41" i="198"/>
  <c r="L41" i="198"/>
  <c r="A42" i="198"/>
  <c r="D42" i="198"/>
  <c r="E42" i="198"/>
  <c r="F42" i="198"/>
  <c r="G42" i="198"/>
  <c r="H42" i="198"/>
  <c r="I42" i="198"/>
  <c r="J42" i="198"/>
  <c r="K42" i="198"/>
  <c r="L42" i="198"/>
  <c r="A43" i="198"/>
  <c r="A44" i="198"/>
  <c r="D44" i="198"/>
  <c r="E44" i="198"/>
  <c r="F44" i="198"/>
  <c r="G44" i="198"/>
  <c r="H44" i="198"/>
  <c r="I44" i="198"/>
  <c r="J44" i="198"/>
  <c r="K44" i="198"/>
  <c r="L44" i="198"/>
  <c r="D48" i="198"/>
  <c r="E48" i="198"/>
  <c r="F48" i="198"/>
  <c r="F10" i="198" s="1"/>
  <c r="G48" i="198"/>
  <c r="H48" i="198"/>
  <c r="I48" i="198"/>
  <c r="I10" i="198" s="1"/>
  <c r="J48" i="198"/>
  <c r="K48" i="198"/>
  <c r="L48" i="198"/>
  <c r="L10" i="198" s="1"/>
  <c r="A49" i="198"/>
  <c r="A50" i="198"/>
  <c r="D50" i="198"/>
  <c r="E50" i="198"/>
  <c r="F50" i="198"/>
  <c r="G50" i="198"/>
  <c r="H50" i="198"/>
  <c r="I50" i="198"/>
  <c r="J50" i="198"/>
  <c r="K50" i="198"/>
  <c r="L50" i="198"/>
  <c r="A51" i="198"/>
  <c r="A52" i="198"/>
  <c r="D54" i="198"/>
  <c r="E54" i="198"/>
  <c r="F54" i="198"/>
  <c r="G54" i="198"/>
  <c r="G15" i="198" s="1"/>
  <c r="H54" i="198"/>
  <c r="I54" i="198"/>
  <c r="J54" i="198"/>
  <c r="K54" i="198"/>
  <c r="L54" i="198"/>
  <c r="E55" i="198"/>
  <c r="F55" i="198"/>
  <c r="G55" i="198"/>
  <c r="H55" i="198"/>
  <c r="I55" i="198"/>
  <c r="I17" i="198"/>
  <c r="J55" i="198"/>
  <c r="K55" i="198"/>
  <c r="L55" i="198"/>
  <c r="E56" i="198"/>
  <c r="E17" i="198" s="1"/>
  <c r="F56" i="198"/>
  <c r="F17" i="198" s="1"/>
  <c r="G56" i="198"/>
  <c r="G17" i="198" s="1"/>
  <c r="H56" i="198"/>
  <c r="H17" i="198" s="1"/>
  <c r="I56" i="198"/>
  <c r="J56" i="198"/>
  <c r="J17" i="198" s="1"/>
  <c r="K56" i="198"/>
  <c r="K17" i="198"/>
  <c r="L56" i="198"/>
  <c r="L17" i="198" s="1"/>
  <c r="D57" i="198"/>
  <c r="E57" i="198"/>
  <c r="F57" i="198"/>
  <c r="G57" i="198"/>
  <c r="H57" i="198"/>
  <c r="I57" i="198"/>
  <c r="J57" i="198"/>
  <c r="K57" i="198"/>
  <c r="L57" i="198"/>
  <c r="A58" i="198"/>
  <c r="A59" i="198"/>
  <c r="D59" i="198"/>
  <c r="E59" i="198"/>
  <c r="F59" i="198"/>
  <c r="G59" i="198"/>
  <c r="H59" i="198"/>
  <c r="I59" i="198"/>
  <c r="J59" i="198"/>
  <c r="J27" i="198" s="1"/>
  <c r="K59" i="198"/>
  <c r="L59" i="198"/>
  <c r="D60" i="198"/>
  <c r="E60" i="198"/>
  <c r="F60" i="198"/>
  <c r="G60" i="198"/>
  <c r="H60" i="198"/>
  <c r="I60" i="198"/>
  <c r="J60" i="198"/>
  <c r="K60" i="198"/>
  <c r="L60" i="198"/>
  <c r="D62" i="198"/>
  <c r="E62" i="198"/>
  <c r="F62" i="198"/>
  <c r="G62" i="198"/>
  <c r="H62" i="198"/>
  <c r="I62" i="198"/>
  <c r="J62" i="198"/>
  <c r="K62" i="198"/>
  <c r="L62" i="198"/>
  <c r="D63" i="198"/>
  <c r="D32" i="198"/>
  <c r="E63" i="198"/>
  <c r="F63" i="198"/>
  <c r="G63" i="198"/>
  <c r="G32" i="198"/>
  <c r="H63" i="198"/>
  <c r="I63" i="198"/>
  <c r="J63" i="198"/>
  <c r="J32" i="198"/>
  <c r="K63" i="198"/>
  <c r="K32" i="198"/>
  <c r="L63" i="198"/>
  <c r="D64" i="198"/>
  <c r="E64" i="198"/>
  <c r="F64" i="198"/>
  <c r="F32" i="198"/>
  <c r="G64" i="198"/>
  <c r="H64" i="198"/>
  <c r="I64" i="198"/>
  <c r="J64" i="198"/>
  <c r="K64" i="198"/>
  <c r="L64" i="198"/>
  <c r="D65" i="198"/>
  <c r="E65" i="198"/>
  <c r="F65" i="198"/>
  <c r="G65" i="198"/>
  <c r="H65" i="198"/>
  <c r="I65" i="198"/>
  <c r="J65" i="198"/>
  <c r="K65" i="198"/>
  <c r="L65" i="198"/>
  <c r="E67" i="198"/>
  <c r="E66" i="198"/>
  <c r="E33" i="198" s="1"/>
  <c r="F67" i="198"/>
  <c r="I2" i="199"/>
  <c r="C3" i="199"/>
  <c r="D3" i="199"/>
  <c r="E3" i="199"/>
  <c r="F3" i="199"/>
  <c r="G3" i="199"/>
  <c r="H3" i="199"/>
  <c r="A2" i="200"/>
  <c r="B2" i="200"/>
  <c r="I2" i="200"/>
  <c r="C3" i="200"/>
  <c r="D3" i="200"/>
  <c r="E3" i="200"/>
  <c r="F3" i="200"/>
  <c r="G3" i="200"/>
  <c r="H3" i="200"/>
  <c r="C18" i="200"/>
  <c r="C39" i="200" s="1"/>
  <c r="C41" i="200" s="1"/>
  <c r="D18" i="200"/>
  <c r="C42" i="279" s="1"/>
  <c r="E18" i="200"/>
  <c r="F18" i="200"/>
  <c r="G18" i="200"/>
  <c r="F42" i="279"/>
  <c r="H18" i="200"/>
  <c r="I18" i="200"/>
  <c r="J18" i="200"/>
  <c r="I42" i="279" s="1"/>
  <c r="K18" i="200"/>
  <c r="J42" i="279" s="1"/>
  <c r="C28" i="200"/>
  <c r="D28" i="200"/>
  <c r="C43" i="279"/>
  <c r="E28" i="200"/>
  <c r="D43" i="279" s="1"/>
  <c r="F28" i="200"/>
  <c r="G28" i="200"/>
  <c r="F43" i="279"/>
  <c r="H28" i="200"/>
  <c r="G43" i="279" s="1"/>
  <c r="I28" i="200"/>
  <c r="J28" i="200"/>
  <c r="K28" i="200"/>
  <c r="J43" i="279"/>
  <c r="C37" i="200"/>
  <c r="B44" i="279"/>
  <c r="D37" i="200"/>
  <c r="C44" i="279"/>
  <c r="E37" i="200"/>
  <c r="F37" i="200"/>
  <c r="G37" i="200"/>
  <c r="H37" i="200"/>
  <c r="G44" i="279"/>
  <c r="I37" i="200"/>
  <c r="J37" i="200"/>
  <c r="I44" i="279"/>
  <c r="K37" i="200"/>
  <c r="J44" i="279"/>
  <c r="A2" i="201"/>
  <c r="B2" i="201"/>
  <c r="I2" i="201"/>
  <c r="C3" i="201"/>
  <c r="D3" i="201"/>
  <c r="E3" i="201"/>
  <c r="F3" i="201"/>
  <c r="G3" i="201"/>
  <c r="H3" i="201"/>
  <c r="C12" i="201"/>
  <c r="D12" i="201"/>
  <c r="E51" i="198" s="1"/>
  <c r="E12" i="201"/>
  <c r="F12" i="201"/>
  <c r="G12" i="201"/>
  <c r="H12" i="201"/>
  <c r="I51" i="198" s="1"/>
  <c r="I12" i="201"/>
  <c r="J51" i="198" s="1"/>
  <c r="J12" i="201"/>
  <c r="K12" i="201"/>
  <c r="C24" i="201"/>
  <c r="B36" i="279"/>
  <c r="D24" i="201"/>
  <c r="C36" i="279"/>
  <c r="E24" i="201"/>
  <c r="D36" i="279"/>
  <c r="F24" i="201"/>
  <c r="E36" i="279"/>
  <c r="G24" i="201"/>
  <c r="F36" i="279"/>
  <c r="H24" i="201"/>
  <c r="G36" i="279"/>
  <c r="I24" i="201"/>
  <c r="J24" i="201"/>
  <c r="J25" i="201" s="1"/>
  <c r="K24" i="201"/>
  <c r="J36" i="279" s="1"/>
  <c r="C34" i="201"/>
  <c r="D52" i="198" s="1"/>
  <c r="D34" i="201"/>
  <c r="E52" i="198" s="1"/>
  <c r="E15" i="198" s="1"/>
  <c r="E34" i="201"/>
  <c r="E40" i="201" s="1"/>
  <c r="F34" i="201"/>
  <c r="G34" i="201"/>
  <c r="G40" i="201" s="1"/>
  <c r="H34" i="201"/>
  <c r="H40" i="201" s="1"/>
  <c r="I34" i="201"/>
  <c r="I40" i="201" s="1"/>
  <c r="J52" i="198"/>
  <c r="J15" i="198" s="1"/>
  <c r="J34" i="201"/>
  <c r="J40" i="201" s="1"/>
  <c r="K52" i="198"/>
  <c r="K15" i="198" s="1"/>
  <c r="K34" i="201"/>
  <c r="J37" i="279"/>
  <c r="L52" i="198"/>
  <c r="C39" i="201"/>
  <c r="B38" i="279"/>
  <c r="D39" i="201"/>
  <c r="E39" i="201"/>
  <c r="D38" i="279"/>
  <c r="F39" i="201"/>
  <c r="E38" i="279"/>
  <c r="G39" i="201"/>
  <c r="H39" i="201"/>
  <c r="G38" i="279"/>
  <c r="I39" i="201"/>
  <c r="J39" i="201"/>
  <c r="K39" i="201"/>
  <c r="K40" i="201"/>
  <c r="C48" i="201"/>
  <c r="B39" i="279"/>
  <c r="D48" i="201"/>
  <c r="E49" i="198"/>
  <c r="E11" i="198"/>
  <c r="E48" i="201"/>
  <c r="F48" i="201"/>
  <c r="G48" i="201"/>
  <c r="H49" i="198"/>
  <c r="H48" i="201"/>
  <c r="I49" i="198"/>
  <c r="I11" i="198"/>
  <c r="I48" i="201"/>
  <c r="J48" i="201"/>
  <c r="I39" i="279"/>
  <c r="K49" i="198"/>
  <c r="K48" i="201"/>
  <c r="J39" i="279"/>
  <c r="A2" i="202"/>
  <c r="B2" i="202"/>
  <c r="I2" i="202"/>
  <c r="C3" i="202"/>
  <c r="D3" i="202"/>
  <c r="E3" i="202"/>
  <c r="F3" i="202"/>
  <c r="G3" i="202"/>
  <c r="H3" i="202"/>
  <c r="A2" i="65"/>
  <c r="B2" i="65"/>
  <c r="I2" i="65"/>
  <c r="C3" i="65"/>
  <c r="D3" i="65"/>
  <c r="E3" i="65"/>
  <c r="F3" i="65"/>
  <c r="G3" i="65"/>
  <c r="H3" i="65"/>
  <c r="C21" i="65"/>
  <c r="D58" i="198" s="1"/>
  <c r="D21" i="65"/>
  <c r="E58" i="198" s="1"/>
  <c r="E21" i="65"/>
  <c r="F58" i="198" s="1"/>
  <c r="F27" i="198" s="1"/>
  <c r="F21" i="65"/>
  <c r="G21" i="65"/>
  <c r="H21" i="65"/>
  <c r="I21" i="65"/>
  <c r="J21" i="65"/>
  <c r="K58" i="198" s="1"/>
  <c r="K21" i="65"/>
  <c r="L58" i="198" s="1"/>
  <c r="L21" i="65"/>
  <c r="M21" i="65"/>
  <c r="N21" i="65"/>
  <c r="O21" i="65"/>
  <c r="P21" i="65"/>
  <c r="Q21" i="65"/>
  <c r="R21" i="65"/>
  <c r="S21" i="65"/>
  <c r="T21" i="65"/>
  <c r="U21" i="65"/>
  <c r="V21" i="65"/>
  <c r="W21" i="65"/>
  <c r="C35" i="65"/>
  <c r="D35" i="65"/>
  <c r="E35" i="65"/>
  <c r="F35" i="65"/>
  <c r="G43" i="198" s="1"/>
  <c r="G7" i="198" s="1"/>
  <c r="G35" i="65"/>
  <c r="H43" i="198" s="1"/>
  <c r="H7" i="198" s="1"/>
  <c r="H35" i="65"/>
  <c r="I43" i="198" s="1"/>
  <c r="I7" i="198" s="1"/>
  <c r="I35" i="65"/>
  <c r="J35" i="65"/>
  <c r="K35" i="65"/>
  <c r="L43" i="198" s="1"/>
  <c r="L7" i="198" s="1"/>
  <c r="A2" i="279"/>
  <c r="H2" i="279"/>
  <c r="B3" i="279"/>
  <c r="C3" i="279"/>
  <c r="D3" i="279"/>
  <c r="E3" i="279"/>
  <c r="F3" i="279"/>
  <c r="G3" i="279"/>
  <c r="B6" i="279"/>
  <c r="C6" i="279"/>
  <c r="C10" i="279"/>
  <c r="D6" i="279"/>
  <c r="E6" i="279"/>
  <c r="F6" i="279"/>
  <c r="G6" i="279"/>
  <c r="H6" i="279"/>
  <c r="I6" i="279"/>
  <c r="J6" i="279"/>
  <c r="B7" i="279"/>
  <c r="C7" i="279"/>
  <c r="D7" i="279"/>
  <c r="E7" i="279"/>
  <c r="F7" i="279"/>
  <c r="G7" i="279"/>
  <c r="H7" i="279"/>
  <c r="I7" i="279"/>
  <c r="J7" i="279"/>
  <c r="B8" i="279"/>
  <c r="C8" i="279"/>
  <c r="D8" i="279"/>
  <c r="E8" i="279"/>
  <c r="F8" i="279"/>
  <c r="G8" i="279"/>
  <c r="H8" i="279"/>
  <c r="I8" i="279"/>
  <c r="J8" i="279"/>
  <c r="B9" i="279"/>
  <c r="B10" i="279" s="1"/>
  <c r="C9" i="279"/>
  <c r="D9" i="279"/>
  <c r="D10" i="279" s="1"/>
  <c r="E9" i="279"/>
  <c r="E10" i="279" s="1"/>
  <c r="F9" i="279"/>
  <c r="F10" i="279" s="1"/>
  <c r="G9" i="279"/>
  <c r="G10" i="279" s="1"/>
  <c r="H9" i="279"/>
  <c r="H10" i="279" s="1"/>
  <c r="I9" i="279"/>
  <c r="I10" i="279" s="1"/>
  <c r="J9" i="279"/>
  <c r="J10" i="279" s="1"/>
  <c r="B11" i="279"/>
  <c r="C11" i="279"/>
  <c r="D11" i="279"/>
  <c r="E11" i="279"/>
  <c r="F11" i="279"/>
  <c r="G11" i="279"/>
  <c r="H11" i="279"/>
  <c r="I11" i="279"/>
  <c r="J11" i="279"/>
  <c r="B12" i="279"/>
  <c r="C12" i="279"/>
  <c r="D12" i="279"/>
  <c r="E12" i="279"/>
  <c r="F12" i="279"/>
  <c r="G12" i="279"/>
  <c r="H12" i="279"/>
  <c r="I12" i="279"/>
  <c r="J12" i="279"/>
  <c r="B13" i="279"/>
  <c r="C13" i="279"/>
  <c r="D13" i="279"/>
  <c r="E13" i="279"/>
  <c r="F13" i="279"/>
  <c r="G13" i="279"/>
  <c r="H13" i="279"/>
  <c r="I13" i="279"/>
  <c r="J13" i="279"/>
  <c r="B14" i="279"/>
  <c r="C14" i="279"/>
  <c r="D14" i="279"/>
  <c r="E14" i="279"/>
  <c r="F14" i="279"/>
  <c r="G14" i="279"/>
  <c r="H14" i="279"/>
  <c r="I14" i="279"/>
  <c r="J14" i="279"/>
  <c r="B15" i="279"/>
  <c r="C15" i="279"/>
  <c r="D15" i="279"/>
  <c r="E15" i="279"/>
  <c r="F15" i="279"/>
  <c r="G15" i="279"/>
  <c r="H15" i="279"/>
  <c r="I15" i="279"/>
  <c r="J15" i="279"/>
  <c r="B16" i="279"/>
  <c r="C16" i="279"/>
  <c r="D16" i="279"/>
  <c r="E16" i="279"/>
  <c r="F16" i="279"/>
  <c r="G16" i="279"/>
  <c r="H16" i="279"/>
  <c r="I16" i="279"/>
  <c r="J16" i="279"/>
  <c r="B20" i="279"/>
  <c r="C20" i="279"/>
  <c r="D20" i="279"/>
  <c r="E20" i="279"/>
  <c r="F20" i="279"/>
  <c r="G20" i="279"/>
  <c r="H20" i="279"/>
  <c r="I20" i="279"/>
  <c r="J20" i="279"/>
  <c r="B21" i="279"/>
  <c r="C21" i="279"/>
  <c r="D21" i="279"/>
  <c r="E21" i="279"/>
  <c r="F21" i="279"/>
  <c r="G21" i="279"/>
  <c r="H21" i="279"/>
  <c r="I21" i="279"/>
  <c r="J21" i="279"/>
  <c r="B23" i="279"/>
  <c r="C23" i="279"/>
  <c r="D23" i="279"/>
  <c r="E23" i="279"/>
  <c r="F23" i="279"/>
  <c r="G23" i="279"/>
  <c r="H23" i="279"/>
  <c r="I23" i="279"/>
  <c r="J23" i="279"/>
  <c r="G35" i="279"/>
  <c r="H37" i="279"/>
  <c r="I37" i="279"/>
  <c r="F38" i="279"/>
  <c r="H38" i="279"/>
  <c r="G39" i="279"/>
  <c r="E43" i="279"/>
  <c r="H43" i="279"/>
  <c r="I43" i="279"/>
  <c r="D44" i="279"/>
  <c r="E44" i="279"/>
  <c r="H44" i="279"/>
  <c r="A2" i="333"/>
  <c r="E2" i="333"/>
  <c r="F2" i="333"/>
  <c r="G2" i="333"/>
  <c r="H2" i="333"/>
  <c r="I2" i="333"/>
  <c r="J2" i="333"/>
  <c r="K2" i="333"/>
  <c r="L2" i="333"/>
  <c r="M2" i="333"/>
  <c r="N2" i="333"/>
  <c r="O2" i="333"/>
  <c r="A3" i="333"/>
  <c r="E3" i="333"/>
  <c r="F3" i="333"/>
  <c r="G3" i="333"/>
  <c r="H3" i="333"/>
  <c r="I3" i="333"/>
  <c r="J3" i="333"/>
  <c r="K3" i="333"/>
  <c r="L3" i="333"/>
  <c r="M3" i="333"/>
  <c r="N3" i="333"/>
  <c r="O3" i="333"/>
  <c r="A4" i="333"/>
  <c r="E4" i="333"/>
  <c r="F4" i="333"/>
  <c r="G4" i="333"/>
  <c r="H4" i="333"/>
  <c r="I4" i="333"/>
  <c r="J4" i="333"/>
  <c r="K4" i="333"/>
  <c r="L4" i="333"/>
  <c r="M4" i="333"/>
  <c r="N4" i="333"/>
  <c r="O4" i="333"/>
  <c r="A5" i="333"/>
  <c r="E5" i="333"/>
  <c r="F5" i="333"/>
  <c r="G5" i="333"/>
  <c r="H5" i="333"/>
  <c r="I5" i="333"/>
  <c r="J5" i="333"/>
  <c r="K5" i="333"/>
  <c r="L5" i="333"/>
  <c r="M5" i="333"/>
  <c r="N5" i="333"/>
  <c r="O5" i="333"/>
  <c r="A6" i="333"/>
  <c r="E6" i="333"/>
  <c r="F6" i="333"/>
  <c r="G6" i="333"/>
  <c r="H6" i="333"/>
  <c r="I6" i="333"/>
  <c r="J6" i="333"/>
  <c r="K6" i="333"/>
  <c r="L6" i="333"/>
  <c r="M6" i="333"/>
  <c r="N6" i="333"/>
  <c r="O6" i="333"/>
  <c r="A7" i="333"/>
  <c r="E7" i="333"/>
  <c r="F7" i="333"/>
  <c r="G7" i="333"/>
  <c r="H7" i="333"/>
  <c r="I7" i="333"/>
  <c r="J7" i="333"/>
  <c r="K7" i="333"/>
  <c r="L7" i="333"/>
  <c r="M7" i="333"/>
  <c r="N7" i="333"/>
  <c r="O7" i="333"/>
  <c r="A8" i="333"/>
  <c r="E8" i="333"/>
  <c r="F8" i="333"/>
  <c r="G8" i="333"/>
  <c r="H8" i="333"/>
  <c r="I8" i="333"/>
  <c r="J8" i="333"/>
  <c r="K8" i="333"/>
  <c r="L8" i="333"/>
  <c r="M8" i="333"/>
  <c r="N8" i="333"/>
  <c r="O8" i="333"/>
  <c r="A9" i="333"/>
  <c r="E9" i="333"/>
  <c r="F9" i="333"/>
  <c r="G9" i="333"/>
  <c r="H9" i="333"/>
  <c r="I9" i="333"/>
  <c r="J9" i="333"/>
  <c r="K9" i="333"/>
  <c r="L9" i="333"/>
  <c r="M9" i="333"/>
  <c r="N9" i="333"/>
  <c r="O9" i="333"/>
  <c r="A10" i="333"/>
  <c r="E10" i="333"/>
  <c r="F10" i="333"/>
  <c r="G10" i="333"/>
  <c r="H10" i="333"/>
  <c r="I10" i="333"/>
  <c r="J10" i="333"/>
  <c r="K10" i="333"/>
  <c r="L10" i="333"/>
  <c r="M10" i="333"/>
  <c r="N10" i="333"/>
  <c r="O10" i="333"/>
  <c r="A11" i="333"/>
  <c r="E11" i="333"/>
  <c r="F11" i="333"/>
  <c r="G11" i="333"/>
  <c r="H11" i="333"/>
  <c r="I11" i="333"/>
  <c r="J11" i="333"/>
  <c r="K11" i="333"/>
  <c r="L11" i="333"/>
  <c r="M11" i="333"/>
  <c r="N11" i="333"/>
  <c r="O11" i="333"/>
  <c r="A12" i="333"/>
  <c r="E12" i="333"/>
  <c r="F12" i="333"/>
  <c r="G12" i="333"/>
  <c r="H12" i="333"/>
  <c r="I12" i="333"/>
  <c r="J12" i="333"/>
  <c r="K12" i="333"/>
  <c r="L12" i="333"/>
  <c r="M12" i="333"/>
  <c r="N12" i="333"/>
  <c r="O12" i="333"/>
  <c r="A13" i="333"/>
  <c r="E13" i="333"/>
  <c r="F13" i="333"/>
  <c r="G13" i="333"/>
  <c r="H13" i="333"/>
  <c r="I13" i="333"/>
  <c r="J13" i="333"/>
  <c r="K13" i="333"/>
  <c r="L13" i="333"/>
  <c r="M13" i="333"/>
  <c r="N13" i="333"/>
  <c r="O13" i="333"/>
  <c r="A14" i="333"/>
  <c r="E14" i="333"/>
  <c r="F14" i="333"/>
  <c r="G14" i="333"/>
  <c r="H14" i="333"/>
  <c r="I14" i="333"/>
  <c r="J14" i="333"/>
  <c r="K14" i="333"/>
  <c r="L14" i="333"/>
  <c r="M14" i="333"/>
  <c r="N14" i="333"/>
  <c r="O14" i="333"/>
  <c r="A15" i="333"/>
  <c r="E15" i="333"/>
  <c r="F15" i="333"/>
  <c r="G15" i="333"/>
  <c r="H15" i="333"/>
  <c r="I15" i="333"/>
  <c r="J15" i="333"/>
  <c r="K15" i="333"/>
  <c r="L15" i="333"/>
  <c r="M15" i="333"/>
  <c r="N15" i="333"/>
  <c r="O15" i="333"/>
  <c r="A16" i="333"/>
  <c r="E16" i="333"/>
  <c r="F16" i="333"/>
  <c r="G16" i="333"/>
  <c r="H16" i="333"/>
  <c r="I16" i="333"/>
  <c r="J16" i="333"/>
  <c r="K16" i="333"/>
  <c r="L16" i="333"/>
  <c r="M16" i="333"/>
  <c r="N16" i="333"/>
  <c r="O16" i="333"/>
  <c r="A17" i="333"/>
  <c r="E17" i="333"/>
  <c r="F17" i="333"/>
  <c r="G17" i="333"/>
  <c r="H17" i="333"/>
  <c r="I17" i="333"/>
  <c r="J17" i="333"/>
  <c r="K17" i="333"/>
  <c r="L17" i="333"/>
  <c r="M17" i="333"/>
  <c r="N17" i="333"/>
  <c r="O17" i="333"/>
  <c r="A18" i="333"/>
  <c r="E18" i="333"/>
  <c r="F18" i="333"/>
  <c r="G18" i="333"/>
  <c r="H18" i="333"/>
  <c r="I18" i="333"/>
  <c r="J18" i="333"/>
  <c r="K18" i="333"/>
  <c r="L18" i="333"/>
  <c r="M18" i="333"/>
  <c r="N18" i="333"/>
  <c r="O18" i="333"/>
  <c r="A19" i="333"/>
  <c r="E19" i="333"/>
  <c r="F19" i="333"/>
  <c r="G19" i="333"/>
  <c r="H19" i="333"/>
  <c r="I19" i="333"/>
  <c r="J19" i="333"/>
  <c r="K19" i="333"/>
  <c r="L19" i="333"/>
  <c r="M19" i="333"/>
  <c r="N19" i="333"/>
  <c r="O19" i="333"/>
  <c r="A20" i="333"/>
  <c r="E20" i="333"/>
  <c r="F20" i="333"/>
  <c r="G20" i="333"/>
  <c r="H20" i="333"/>
  <c r="I20" i="333"/>
  <c r="J20" i="333"/>
  <c r="K20" i="333"/>
  <c r="L20" i="333"/>
  <c r="M20" i="333"/>
  <c r="N20" i="333"/>
  <c r="O20" i="333"/>
  <c r="A21" i="333"/>
  <c r="E21" i="333"/>
  <c r="F21" i="333"/>
  <c r="G21" i="333"/>
  <c r="H21" i="333"/>
  <c r="I21" i="333"/>
  <c r="J21" i="333"/>
  <c r="K21" i="333"/>
  <c r="L21" i="333"/>
  <c r="M21" i="333"/>
  <c r="N21" i="333"/>
  <c r="O21" i="333"/>
  <c r="A22" i="333"/>
  <c r="E22" i="333"/>
  <c r="F22" i="333"/>
  <c r="G22" i="333"/>
  <c r="H22" i="333"/>
  <c r="I22" i="333"/>
  <c r="J22" i="333"/>
  <c r="K22" i="333"/>
  <c r="L22" i="333"/>
  <c r="M22" i="333"/>
  <c r="N22" i="333"/>
  <c r="O22" i="333"/>
  <c r="E23" i="333"/>
  <c r="F23" i="333"/>
  <c r="G23" i="333"/>
  <c r="H23" i="333"/>
  <c r="I23" i="333"/>
  <c r="J23" i="333"/>
  <c r="K23" i="333"/>
  <c r="L23" i="333"/>
  <c r="M23" i="333"/>
  <c r="N23" i="333"/>
  <c r="O23" i="333"/>
  <c r="E24" i="333"/>
  <c r="F24" i="333"/>
  <c r="G24" i="333"/>
  <c r="H24" i="333"/>
  <c r="I24" i="333"/>
  <c r="J24" i="333"/>
  <c r="K24" i="333"/>
  <c r="L24" i="333"/>
  <c r="M24" i="333"/>
  <c r="N24" i="333"/>
  <c r="O24" i="333"/>
  <c r="B28" i="333"/>
  <c r="A1" i="337" s="1"/>
  <c r="B80" i="100"/>
  <c r="A1" i="279" s="1"/>
  <c r="B81" i="100"/>
  <c r="A1" i="65" s="1"/>
  <c r="B84" i="100"/>
  <c r="A1" i="201" s="1"/>
  <c r="B85" i="100"/>
  <c r="A1" i="200" s="1"/>
  <c r="B86" i="100"/>
  <c r="A1" i="199" s="1"/>
  <c r="B87" i="100"/>
  <c r="A1" i="198" s="1"/>
  <c r="B88" i="100"/>
  <c r="A1" i="243" s="1"/>
  <c r="B89" i="100"/>
  <c r="A1" i="285" s="1"/>
  <c r="B90" i="100"/>
  <c r="A1" i="336" s="1"/>
  <c r="B91" i="100"/>
  <c r="A1" i="204" s="1"/>
  <c r="B92" i="100"/>
  <c r="A1" i="284" s="1"/>
  <c r="B93" i="100"/>
  <c r="A1" i="341" s="1"/>
  <c r="B94" i="100"/>
  <c r="A1" i="342" s="1"/>
  <c r="B97" i="100"/>
  <c r="A1" i="330" s="1"/>
  <c r="B98" i="100"/>
  <c r="A1" i="329" s="1"/>
  <c r="B99" i="100"/>
  <c r="A1" i="283" s="1"/>
  <c r="B100" i="100"/>
  <c r="A1" i="282" s="1"/>
  <c r="X34" i="338"/>
  <c r="X36" i="338" s="1"/>
  <c r="Q55" i="204"/>
  <c r="L32" i="198"/>
  <c r="M28" i="204"/>
  <c r="N28" i="204" s="1"/>
  <c r="L49" i="198"/>
  <c r="D49" i="198"/>
  <c r="D11" i="198"/>
  <c r="F39" i="279"/>
  <c r="D10" i="198"/>
  <c r="P55" i="204"/>
  <c r="N23" i="283"/>
  <c r="F23" i="283"/>
  <c r="G49" i="198"/>
  <c r="E39" i="279"/>
  <c r="D39" i="279"/>
  <c r="F49" i="198"/>
  <c r="F11" i="198"/>
  <c r="H36" i="279"/>
  <c r="F25" i="201"/>
  <c r="G40" i="198" s="1"/>
  <c r="G6" i="198" s="1"/>
  <c r="K10" i="198"/>
  <c r="L11" i="198"/>
  <c r="H51" i="198"/>
  <c r="F35" i="279"/>
  <c r="G25" i="201"/>
  <c r="B43" i="279"/>
  <c r="G23" i="283"/>
  <c r="M6" i="204"/>
  <c r="L23" i="283"/>
  <c r="D23" i="283"/>
  <c r="H52" i="198"/>
  <c r="H13" i="198" s="1"/>
  <c r="G42" i="279"/>
  <c r="H62" i="204"/>
  <c r="H23" i="283"/>
  <c r="I36" i="279"/>
  <c r="G10" i="198"/>
  <c r="J47" i="198"/>
  <c r="G161" i="202"/>
  <c r="G158" i="202"/>
  <c r="G152" i="202"/>
  <c r="G149" i="202"/>
  <c r="G141" i="202"/>
  <c r="G139" i="202"/>
  <c r="C16" i="202"/>
  <c r="C131" i="202"/>
  <c r="C141" i="202"/>
  <c r="C139" i="202"/>
  <c r="K158" i="202"/>
  <c r="K155" i="202"/>
  <c r="K152" i="202"/>
  <c r="K167" i="202" s="1"/>
  <c r="K149" i="202"/>
  <c r="C7" i="202"/>
  <c r="C12" i="202"/>
  <c r="C6" i="202"/>
  <c r="C44" i="202"/>
  <c r="C68" i="202"/>
  <c r="C119" i="202"/>
  <c r="C118" i="202"/>
  <c r="C52" i="202"/>
  <c r="C62" i="202"/>
  <c r="I161" i="202"/>
  <c r="I158" i="202"/>
  <c r="I155" i="202"/>
  <c r="C26" i="202"/>
  <c r="C37" i="202"/>
  <c r="C75" i="202"/>
  <c r="C103" i="202"/>
  <c r="E161" i="202"/>
  <c r="J161" i="202"/>
  <c r="J158" i="202"/>
  <c r="J155" i="202"/>
  <c r="J152" i="202"/>
  <c r="J167" i="202" s="1"/>
  <c r="F161" i="202"/>
  <c r="D161" i="202"/>
  <c r="D158" i="202"/>
  <c r="H161" i="202"/>
  <c r="H158" i="202"/>
  <c r="F158" i="202"/>
  <c r="F155" i="202"/>
  <c r="F152" i="202"/>
  <c r="F167" i="202" s="1"/>
  <c r="F149" i="202"/>
  <c r="D155" i="202"/>
  <c r="H155" i="202"/>
  <c r="E155" i="202"/>
  <c r="I152" i="202"/>
  <c r="H152" i="202"/>
  <c r="H167" i="202" s="1"/>
  <c r="E152" i="202"/>
  <c r="E167" i="202" s="1"/>
  <c r="I149" i="202"/>
  <c r="E149" i="202"/>
  <c r="J149" i="202"/>
  <c r="D149" i="202"/>
  <c r="H149" i="202"/>
  <c r="I141" i="202"/>
  <c r="I139" i="202"/>
  <c r="I136" i="202"/>
  <c r="I131" i="202"/>
  <c r="I119" i="202"/>
  <c r="I118" i="202"/>
  <c r="I114" i="202"/>
  <c r="I111" i="202"/>
  <c r="I103" i="202"/>
  <c r="I98" i="202"/>
  <c r="I75" i="202"/>
  <c r="I74" i="202"/>
  <c r="I68" i="202"/>
  <c r="I62" i="202"/>
  <c r="I52" i="202"/>
  <c r="I44" i="202"/>
  <c r="I37" i="202"/>
  <c r="I26" i="202"/>
  <c r="I16" i="202"/>
  <c r="I6" i="202"/>
  <c r="I12" i="202"/>
  <c r="I7" i="202"/>
  <c r="F141" i="202"/>
  <c r="F139" i="202"/>
  <c r="K141" i="202"/>
  <c r="K139" i="202"/>
  <c r="D141" i="202"/>
  <c r="D139" i="202"/>
  <c r="H141" i="202"/>
  <c r="H139" i="202"/>
  <c r="E141" i="202"/>
  <c r="E139" i="202"/>
  <c r="E136" i="202"/>
  <c r="E131" i="202"/>
  <c r="E119" i="202"/>
  <c r="E118" i="202"/>
  <c r="E114" i="202"/>
  <c r="E111" i="202"/>
  <c r="E110" i="202"/>
  <c r="E103" i="202"/>
  <c r="E98" i="202"/>
  <c r="E75" i="202"/>
  <c r="E74" i="202"/>
  <c r="E68" i="202"/>
  <c r="E62" i="202"/>
  <c r="E52" i="202"/>
  <c r="E44" i="202"/>
  <c r="E37" i="202"/>
  <c r="E26" i="202"/>
  <c r="E16" i="202"/>
  <c r="E12" i="202"/>
  <c r="E6" i="202"/>
  <c r="E7" i="202"/>
  <c r="J141" i="202"/>
  <c r="J139" i="202"/>
  <c r="J136" i="202"/>
  <c r="J131" i="202"/>
  <c r="J119" i="202"/>
  <c r="J118" i="202"/>
  <c r="J114" i="202"/>
  <c r="J111" i="202"/>
  <c r="J110" i="202"/>
  <c r="J103" i="202"/>
  <c r="J98" i="202"/>
  <c r="J75" i="202"/>
  <c r="J74" i="202"/>
  <c r="J68" i="202"/>
  <c r="J62" i="202"/>
  <c r="J52" i="202"/>
  <c r="J44" i="202"/>
  <c r="J37" i="202"/>
  <c r="J26" i="202"/>
  <c r="J16" i="202"/>
  <c r="J12" i="202"/>
  <c r="J7" i="202"/>
  <c r="J6" i="202"/>
  <c r="K136" i="202"/>
  <c r="K131" i="202"/>
  <c r="K118" i="202"/>
  <c r="G136" i="202"/>
  <c r="D136" i="202"/>
  <c r="H136" i="202"/>
  <c r="D131" i="202"/>
  <c r="D118" i="202"/>
  <c r="D119" i="202"/>
  <c r="H131" i="202"/>
  <c r="H118" i="202"/>
  <c r="H119" i="202"/>
  <c r="G131" i="202"/>
  <c r="K119" i="202"/>
  <c r="G119" i="202"/>
  <c r="G118" i="202"/>
  <c r="K114" i="202"/>
  <c r="C110" i="202"/>
  <c r="F136" i="202"/>
  <c r="F131" i="202"/>
  <c r="F119" i="202"/>
  <c r="F118" i="202"/>
  <c r="F114" i="202"/>
  <c r="F111" i="202"/>
  <c r="F110" i="202"/>
  <c r="F103" i="202"/>
  <c r="F98" i="202"/>
  <c r="F75" i="202"/>
  <c r="F74" i="202"/>
  <c r="F68" i="202"/>
  <c r="F62" i="202"/>
  <c r="F52" i="202"/>
  <c r="F44" i="202"/>
  <c r="F37" i="202"/>
  <c r="F26" i="202"/>
  <c r="F16" i="202"/>
  <c r="F12" i="202"/>
  <c r="F7" i="202"/>
  <c r="D114" i="202"/>
  <c r="D111" i="202"/>
  <c r="D103" i="202"/>
  <c r="D98" i="202"/>
  <c r="D75" i="202"/>
  <c r="D68" i="202"/>
  <c r="D62" i="202"/>
  <c r="D52" i="202"/>
  <c r="D44" i="202"/>
  <c r="D37" i="202"/>
  <c r="D26" i="202"/>
  <c r="D16" i="202"/>
  <c r="D12" i="202"/>
  <c r="D7" i="202"/>
  <c r="D6" i="202"/>
  <c r="H114" i="202"/>
  <c r="H110" i="202"/>
  <c r="H111" i="202"/>
  <c r="H103" i="202"/>
  <c r="H98" i="202"/>
  <c r="H74" i="202"/>
  <c r="H75" i="202"/>
  <c r="H68" i="202"/>
  <c r="H62" i="202"/>
  <c r="H52" i="202"/>
  <c r="H44" i="202"/>
  <c r="H37" i="202"/>
  <c r="H26" i="202"/>
  <c r="H16" i="202"/>
  <c r="H12" i="202"/>
  <c r="H7" i="202"/>
  <c r="H6" i="202"/>
  <c r="G111" i="202"/>
  <c r="G110" i="202"/>
  <c r="K111" i="202"/>
  <c r="K110" i="202"/>
  <c r="F6" i="342"/>
  <c r="F74" i="342"/>
  <c r="F110" i="342"/>
  <c r="J110" i="342"/>
  <c r="E110" i="342"/>
  <c r="I110" i="342"/>
  <c r="F6" i="341"/>
  <c r="F74" i="341"/>
  <c r="J74" i="341"/>
  <c r="I74" i="341"/>
  <c r="E110" i="341"/>
  <c r="I110" i="341"/>
  <c r="E47" i="198"/>
  <c r="H47" i="198"/>
  <c r="G174" i="202"/>
  <c r="K174" i="202"/>
  <c r="J46" i="198"/>
  <c r="G110" i="284"/>
  <c r="H118" i="284"/>
  <c r="F174" i="202"/>
  <c r="E28" i="279"/>
  <c r="E32" i="279"/>
  <c r="F178" i="202"/>
  <c r="K167" i="284"/>
  <c r="K182" i="284" s="1"/>
  <c r="J6" i="284"/>
  <c r="I6" i="284"/>
  <c r="I167" i="284"/>
  <c r="I182" i="284" s="1"/>
  <c r="H6" i="284"/>
  <c r="H167" i="284"/>
  <c r="H182" i="284" s="1"/>
  <c r="I74" i="284"/>
  <c r="D74" i="284"/>
  <c r="H74" i="284"/>
  <c r="I110" i="284"/>
  <c r="H110" i="284"/>
  <c r="F118" i="284"/>
  <c r="F167" i="284"/>
  <c r="F182" i="284" s="1"/>
  <c r="J118" i="284"/>
  <c r="E174" i="202"/>
  <c r="B29" i="279"/>
  <c r="K47" i="198"/>
  <c r="J174" i="202"/>
  <c r="G47" i="198"/>
  <c r="E29" i="279"/>
  <c r="J58" i="198"/>
  <c r="J28" i="198" s="1"/>
  <c r="G103" i="202"/>
  <c r="G98" i="202"/>
  <c r="G75" i="202"/>
  <c r="G74" i="202"/>
  <c r="G68" i="202"/>
  <c r="G62" i="202"/>
  <c r="G52" i="202"/>
  <c r="G44" i="202"/>
  <c r="G37" i="202"/>
  <c r="G26" i="202"/>
  <c r="G16" i="202"/>
  <c r="G12" i="202"/>
  <c r="G7" i="202"/>
  <c r="G6" i="202"/>
  <c r="G167" i="202"/>
  <c r="H45" i="198" s="1"/>
  <c r="H8" i="198" s="1"/>
  <c r="K103" i="202"/>
  <c r="K98" i="202"/>
  <c r="K75" i="202"/>
  <c r="K74" i="202"/>
  <c r="K68" i="202"/>
  <c r="K62" i="202"/>
  <c r="K52" i="202"/>
  <c r="K44" i="202"/>
  <c r="K37" i="202"/>
  <c r="K26" i="202"/>
  <c r="K16" i="202"/>
  <c r="K12" i="202"/>
  <c r="K6" i="202"/>
  <c r="K7" i="202"/>
  <c r="G114" i="202"/>
  <c r="D46" i="198"/>
  <c r="G178" i="202"/>
  <c r="J167" i="284"/>
  <c r="J182" i="284"/>
  <c r="H178" i="202"/>
  <c r="I28" i="279"/>
  <c r="I32" i="279"/>
  <c r="J61" i="198"/>
  <c r="J31" i="198" s="1"/>
  <c r="J29" i="198"/>
  <c r="L46" i="198"/>
  <c r="M58" i="204"/>
  <c r="O60" i="204"/>
  <c r="M60" i="204"/>
  <c r="M53" i="204"/>
  <c r="O55" i="204"/>
  <c r="I62" i="204"/>
  <c r="E62" i="204"/>
  <c r="C34" i="330"/>
  <c r="J23" i="283"/>
  <c r="B35" i="279"/>
  <c r="F34" i="330"/>
  <c r="J38" i="279"/>
  <c r="I52" i="198"/>
  <c r="I15" i="198" s="1"/>
  <c r="G37" i="279"/>
  <c r="K51" i="198"/>
  <c r="K14" i="198" s="1"/>
  <c r="I35" i="279"/>
  <c r="H10" i="198"/>
  <c r="J49" i="198"/>
  <c r="J10" i="198"/>
  <c r="H39" i="279"/>
  <c r="F62" i="204"/>
  <c r="O21" i="283"/>
  <c r="O23" i="283"/>
  <c r="I38" i="279"/>
  <c r="E6" i="342"/>
  <c r="E74" i="343"/>
  <c r="H110" i="343"/>
  <c r="I74" i="344"/>
  <c r="I110" i="344"/>
  <c r="G74" i="342"/>
  <c r="K74" i="343"/>
  <c r="C98" i="202"/>
  <c r="C74" i="202"/>
  <c r="F27" i="279"/>
  <c r="H46" i="198"/>
  <c r="F28" i="279"/>
  <c r="F32" i="279"/>
  <c r="G167" i="284"/>
  <c r="G182" i="284"/>
  <c r="F167" i="341"/>
  <c r="F182" i="341"/>
  <c r="F167" i="342"/>
  <c r="F182" i="342" s="1"/>
  <c r="B22" i="100"/>
  <c r="K2" i="283" s="1"/>
  <c r="B26" i="100"/>
  <c r="B38" i="100"/>
  <c r="B6" i="100"/>
  <c r="I2" i="329" s="1"/>
  <c r="G52" i="198"/>
  <c r="F40" i="201"/>
  <c r="E37" i="279"/>
  <c r="L51" i="198"/>
  <c r="J35" i="279"/>
  <c r="F44" i="279"/>
  <c r="G39" i="200"/>
  <c r="G41" i="200"/>
  <c r="G46" i="200" s="1"/>
  <c r="F66" i="198"/>
  <c r="G67" i="198"/>
  <c r="N60" i="204"/>
  <c r="H167" i="341"/>
  <c r="H182" i="341"/>
  <c r="C167" i="341"/>
  <c r="C182" i="341"/>
  <c r="F46" i="198"/>
  <c r="E178" i="202"/>
  <c r="M44" i="204"/>
  <c r="D167" i="284"/>
  <c r="D182" i="284"/>
  <c r="D28" i="279"/>
  <c r="K46" i="198"/>
  <c r="J178" i="202"/>
  <c r="F6" i="202"/>
  <c r="C39" i="279"/>
  <c r="M9" i="204"/>
  <c r="M25" i="204"/>
  <c r="D37" i="279"/>
  <c r="F52" i="198"/>
  <c r="J11" i="198"/>
  <c r="G29" i="279"/>
  <c r="K178" i="202"/>
  <c r="H58" i="198"/>
  <c r="H61" i="198" s="1"/>
  <c r="H31" i="198" s="1"/>
  <c r="C38" i="279"/>
  <c r="E35" i="279"/>
  <c r="G51" i="198"/>
  <c r="I34" i="330"/>
  <c r="J6" i="343"/>
  <c r="D74" i="344"/>
  <c r="D167" i="344"/>
  <c r="D182" i="344" s="1"/>
  <c r="E46" i="198"/>
  <c r="D178" i="202"/>
  <c r="C28" i="279"/>
  <c r="C32" i="279"/>
  <c r="B28" i="279"/>
  <c r="B32" i="279"/>
  <c r="C178" i="202"/>
  <c r="F47" i="198"/>
  <c r="D29" i="279"/>
  <c r="J28" i="279"/>
  <c r="J32" i="279"/>
  <c r="G28" i="279"/>
  <c r="G32" i="279"/>
  <c r="G46" i="198"/>
  <c r="H28" i="279"/>
  <c r="H32" i="279"/>
  <c r="D74" i="202"/>
  <c r="H32" i="198"/>
  <c r="E32" i="198"/>
  <c r="H28" i="198"/>
  <c r="H18" i="198"/>
  <c r="K11" i="198"/>
  <c r="G11" i="198"/>
  <c r="L47" i="198"/>
  <c r="E6" i="341"/>
  <c r="E167" i="341"/>
  <c r="E182" i="341"/>
  <c r="I6" i="341"/>
  <c r="I167" i="341"/>
  <c r="I182" i="341"/>
  <c r="K6" i="343"/>
  <c r="K167" i="343"/>
  <c r="K182" i="343"/>
  <c r="D110" i="202"/>
  <c r="I110" i="202"/>
  <c r="I167" i="202"/>
  <c r="I187" i="202" s="1"/>
  <c r="H40" i="198"/>
  <c r="H6" i="198"/>
  <c r="B37" i="279"/>
  <c r="F51" i="198"/>
  <c r="F14" i="198" s="1"/>
  <c r="D35" i="279"/>
  <c r="E25" i="201"/>
  <c r="H42" i="279"/>
  <c r="H11" i="198"/>
  <c r="P60" i="204"/>
  <c r="C118" i="341"/>
  <c r="G118" i="341"/>
  <c r="K118" i="341"/>
  <c r="K167" i="341"/>
  <c r="E6" i="343"/>
  <c r="E167" i="343"/>
  <c r="E182" i="343"/>
  <c r="E110" i="343"/>
  <c r="I32" i="198"/>
  <c r="G110" i="341"/>
  <c r="G167" i="341"/>
  <c r="J118" i="341"/>
  <c r="J167" i="341"/>
  <c r="J182" i="341"/>
  <c r="I6" i="342"/>
  <c r="G110" i="342"/>
  <c r="G167" i="342"/>
  <c r="G182" i="342" s="1"/>
  <c r="E10" i="198"/>
  <c r="E23" i="283"/>
  <c r="H118" i="342"/>
  <c r="H167" i="342"/>
  <c r="H182" i="342" s="1"/>
  <c r="H6" i="343"/>
  <c r="H167" i="343"/>
  <c r="H182" i="343"/>
  <c r="J118" i="343"/>
  <c r="G6" i="344"/>
  <c r="I6" i="344"/>
  <c r="I167" i="344"/>
  <c r="E110" i="344"/>
  <c r="D62" i="204"/>
  <c r="G74" i="284"/>
  <c r="I6" i="343"/>
  <c r="I167" i="343"/>
  <c r="I182" i="343"/>
  <c r="F74" i="343"/>
  <c r="F167" i="343"/>
  <c r="F182" i="343"/>
  <c r="I74" i="343"/>
  <c r="H118" i="343"/>
  <c r="K182" i="341"/>
  <c r="G182" i="341"/>
  <c r="G187" i="202"/>
  <c r="H67" i="198"/>
  <c r="G66" i="198"/>
  <c r="G33" i="198" s="1"/>
  <c r="J167" i="343"/>
  <c r="J182" i="343"/>
  <c r="H29" i="198"/>
  <c r="G14" i="198"/>
  <c r="G13" i="198"/>
  <c r="D32" i="279"/>
  <c r="L13" i="198"/>
  <c r="O39" i="204"/>
  <c r="O40" i="204" s="1"/>
  <c r="F13" i="198"/>
  <c r="I67" i="198"/>
  <c r="H66" i="198"/>
  <c r="H33" i="198" s="1"/>
  <c r="J67" i="198"/>
  <c r="I66" i="198"/>
  <c r="I33" i="198" s="1"/>
  <c r="J66" i="198"/>
  <c r="K67" i="198"/>
  <c r="K66" i="198"/>
  <c r="K33" i="198" s="1"/>
  <c r="L67" i="198"/>
  <c r="L66" i="198"/>
  <c r="K182" i="344" l="1"/>
  <c r="J182" i="344"/>
  <c r="I182" i="344"/>
  <c r="H182" i="344"/>
  <c r="F182" i="344"/>
  <c r="E182" i="344"/>
  <c r="J54" i="285"/>
  <c r="D54" i="285"/>
  <c r="E54" i="285"/>
  <c r="E38" i="285"/>
  <c r="Q62" i="204"/>
  <c r="I39" i="200"/>
  <c r="H39" i="200"/>
  <c r="H41" i="200" s="1"/>
  <c r="G45" i="279" s="1"/>
  <c r="F39" i="200"/>
  <c r="F41" i="200" s="1"/>
  <c r="E45" i="279" s="1"/>
  <c r="E39" i="200"/>
  <c r="P49" i="204"/>
  <c r="P62" i="204" s="1"/>
  <c r="K39" i="200"/>
  <c r="Q63" i="204" s="1"/>
  <c r="J39" i="200"/>
  <c r="P63" i="204" s="1"/>
  <c r="M49" i="204"/>
  <c r="N49" i="204" s="1"/>
  <c r="N62" i="204" s="1"/>
  <c r="D39" i="200"/>
  <c r="L15" i="198"/>
  <c r="L14" i="198"/>
  <c r="H14" i="198"/>
  <c r="F37" i="279"/>
  <c r="H15" i="198"/>
  <c r="G42" i="201"/>
  <c r="G53" i="201" s="1"/>
  <c r="L33" i="198"/>
  <c r="K13" i="198"/>
  <c r="J13" i="198"/>
  <c r="J14" i="198"/>
  <c r="H35" i="279"/>
  <c r="I25" i="201"/>
  <c r="J33" i="198"/>
  <c r="I13" i="198"/>
  <c r="I14" i="198"/>
  <c r="H25" i="201"/>
  <c r="F15" i="198"/>
  <c r="D40" i="201"/>
  <c r="D42" i="201" s="1"/>
  <c r="D53" i="201" s="1"/>
  <c r="C37" i="279"/>
  <c r="C35" i="279"/>
  <c r="Q36" i="204"/>
  <c r="E37" i="65"/>
  <c r="E41" i="65" s="1"/>
  <c r="E43" i="65" s="1"/>
  <c r="J37" i="65"/>
  <c r="J41" i="65" s="1"/>
  <c r="J43" i="65" s="1"/>
  <c r="I37" i="65"/>
  <c r="I41" i="65" s="1"/>
  <c r="I43" i="65" s="1"/>
  <c r="O22" i="204"/>
  <c r="B4" i="100"/>
  <c r="B25" i="100"/>
  <c r="N2" i="283" s="1"/>
  <c r="B29" i="100"/>
  <c r="B21" i="100"/>
  <c r="B24" i="100"/>
  <c r="M2" i="283" s="1"/>
  <c r="B30" i="100"/>
  <c r="B7" i="100"/>
  <c r="B51" i="100" s="1"/>
  <c r="B37" i="100"/>
  <c r="B28" i="100"/>
  <c r="B5" i="100"/>
  <c r="B16" i="100"/>
  <c r="B3" i="100"/>
  <c r="B18" i="100"/>
  <c r="B27" i="100"/>
  <c r="B20" i="100"/>
  <c r="B19" i="100"/>
  <c r="B23" i="100"/>
  <c r="L2" i="283" s="1"/>
  <c r="B2" i="100"/>
  <c r="B17" i="100"/>
  <c r="F54" i="285"/>
  <c r="D22" i="285"/>
  <c r="C56" i="285"/>
  <c r="E42" i="201"/>
  <c r="E53" i="201" s="1"/>
  <c r="D15" i="198"/>
  <c r="C40" i="201"/>
  <c r="F33" i="198"/>
  <c r="F40" i="198"/>
  <c r="F6" i="198" s="1"/>
  <c r="E13" i="198"/>
  <c r="E14" i="198"/>
  <c r="D25" i="201"/>
  <c r="C25" i="201"/>
  <c r="N20" i="204"/>
  <c r="N22" i="204" s="1"/>
  <c r="K187" i="202"/>
  <c r="L45" i="198"/>
  <c r="L8" i="198" s="1"/>
  <c r="Q39" i="204"/>
  <c r="Q40" i="204" s="1"/>
  <c r="J27" i="279"/>
  <c r="P39" i="204"/>
  <c r="P40" i="204" s="1"/>
  <c r="I27" i="279"/>
  <c r="J187" i="202"/>
  <c r="K45" i="198"/>
  <c r="K8" i="198" s="1"/>
  <c r="M39" i="204"/>
  <c r="M40" i="204" s="1"/>
  <c r="J45" i="198"/>
  <c r="J8" i="198" s="1"/>
  <c r="H27" i="279"/>
  <c r="I45" i="198"/>
  <c r="I8" i="198" s="1"/>
  <c r="H187" i="202"/>
  <c r="G27" i="279"/>
  <c r="E27" i="279"/>
  <c r="G45" i="198"/>
  <c r="G8" i="198" s="1"/>
  <c r="F187" i="202"/>
  <c r="E187" i="202"/>
  <c r="D27" i="279"/>
  <c r="F45" i="198"/>
  <c r="F8" i="198" s="1"/>
  <c r="E45" i="198"/>
  <c r="E8" i="198" s="1"/>
  <c r="C27" i="279"/>
  <c r="D187" i="202"/>
  <c r="B27" i="279"/>
  <c r="D45" i="198"/>
  <c r="D8" i="198" s="1"/>
  <c r="C187" i="202"/>
  <c r="D37" i="336"/>
  <c r="K37" i="336"/>
  <c r="F37" i="336"/>
  <c r="E37" i="336"/>
  <c r="J37" i="336"/>
  <c r="H54" i="285"/>
  <c r="K54" i="285"/>
  <c r="I54" i="285"/>
  <c r="J38" i="285"/>
  <c r="J56" i="285"/>
  <c r="F38" i="285"/>
  <c r="E56" i="285"/>
  <c r="D38" i="285"/>
  <c r="H38" i="285"/>
  <c r="K38" i="285"/>
  <c r="I56" i="285"/>
  <c r="I38" i="285"/>
  <c r="H56" i="285"/>
  <c r="K56" i="285"/>
  <c r="G56" i="285"/>
  <c r="D56" i="285"/>
  <c r="E22" i="285"/>
  <c r="F22" i="285"/>
  <c r="K22" i="285"/>
  <c r="H22" i="285"/>
  <c r="F56" i="285"/>
  <c r="D42" i="279"/>
  <c r="E42" i="279"/>
  <c r="F45" i="279"/>
  <c r="O49" i="204"/>
  <c r="O62" i="204" s="1"/>
  <c r="O63" i="204" s="1"/>
  <c r="I40" i="200"/>
  <c r="I41" i="200" s="1"/>
  <c r="H46" i="200"/>
  <c r="F46" i="200"/>
  <c r="D40" i="200"/>
  <c r="B45" i="279"/>
  <c r="C46" i="200"/>
  <c r="B42" i="279"/>
  <c r="K25" i="201"/>
  <c r="J42" i="201"/>
  <c r="J53" i="201" s="1"/>
  <c r="K40" i="198"/>
  <c r="K6" i="198" s="1"/>
  <c r="J40" i="198"/>
  <c r="J6" i="198" s="1"/>
  <c r="I42" i="201"/>
  <c r="I53" i="201" s="1"/>
  <c r="F42" i="201"/>
  <c r="F53" i="201" s="1"/>
  <c r="E40" i="198"/>
  <c r="E6" i="198" s="1"/>
  <c r="D51" i="198"/>
  <c r="D37" i="65"/>
  <c r="D41" i="65" s="1"/>
  <c r="D43" i="65" s="1"/>
  <c r="J17" i="279"/>
  <c r="J18" i="279" s="1"/>
  <c r="J19" i="279" s="1"/>
  <c r="J22" i="279" s="1"/>
  <c r="J24" i="279" s="1"/>
  <c r="O36" i="204"/>
  <c r="H17" i="279"/>
  <c r="H18" i="279" s="1"/>
  <c r="H19" i="279" s="1"/>
  <c r="H22" i="279" s="1"/>
  <c r="H24" i="279" s="1"/>
  <c r="J43" i="198"/>
  <c r="J7" i="198" s="1"/>
  <c r="D17" i="279"/>
  <c r="D18" i="279" s="1"/>
  <c r="D19" i="279" s="1"/>
  <c r="D22" i="279" s="1"/>
  <c r="D24" i="279" s="1"/>
  <c r="E43" i="198"/>
  <c r="E7" i="198" s="1"/>
  <c r="K43" i="198"/>
  <c r="K7" i="198" s="1"/>
  <c r="P36" i="204"/>
  <c r="I17" i="279"/>
  <c r="I18" i="279" s="1"/>
  <c r="I19" i="279" s="1"/>
  <c r="I22" i="279" s="1"/>
  <c r="I24" i="279" s="1"/>
  <c r="M36" i="204"/>
  <c r="G17" i="279"/>
  <c r="G18" i="279" s="1"/>
  <c r="G19" i="279" s="1"/>
  <c r="G22" i="279" s="1"/>
  <c r="G24" i="279" s="1"/>
  <c r="H37" i="65"/>
  <c r="H41" i="65" s="1"/>
  <c r="H43" i="65" s="1"/>
  <c r="E17" i="279"/>
  <c r="E18" i="279" s="1"/>
  <c r="E19" i="279" s="1"/>
  <c r="E22" i="279" s="1"/>
  <c r="E24" i="279" s="1"/>
  <c r="C17" i="279"/>
  <c r="C18" i="279" s="1"/>
  <c r="C19" i="279" s="1"/>
  <c r="C22" i="279" s="1"/>
  <c r="C24" i="279" s="1"/>
  <c r="B17" i="279"/>
  <c r="B18" i="279" s="1"/>
  <c r="B19" i="279" s="1"/>
  <c r="B22" i="279" s="1"/>
  <c r="B24" i="279" s="1"/>
  <c r="N25" i="204"/>
  <c r="N36" i="204" s="1"/>
  <c r="F17" i="279"/>
  <c r="F18" i="279" s="1"/>
  <c r="F19" i="279" s="1"/>
  <c r="F22" i="279" s="1"/>
  <c r="F24" i="279" s="1"/>
  <c r="G37" i="65"/>
  <c r="G41" i="65" s="1"/>
  <c r="G43" i="65" s="1"/>
  <c r="F37" i="65"/>
  <c r="F41" i="65" s="1"/>
  <c r="F43" i="65" s="1"/>
  <c r="F43" i="198"/>
  <c r="F7" i="198" s="1"/>
  <c r="D43" i="198"/>
  <c r="D7" i="198" s="1"/>
  <c r="G58" i="198"/>
  <c r="G18" i="198" s="1"/>
  <c r="E61" i="198"/>
  <c r="E31" i="198" s="1"/>
  <c r="E18" i="198"/>
  <c r="E27" i="198"/>
  <c r="E29" i="198"/>
  <c r="D28" i="198"/>
  <c r="D27" i="198"/>
  <c r="D29" i="198"/>
  <c r="D61" i="198"/>
  <c r="D31" i="198" s="1"/>
  <c r="D18" i="198"/>
  <c r="C37" i="65"/>
  <c r="C41" i="65" s="1"/>
  <c r="C43" i="65" s="1"/>
  <c r="L27" i="198"/>
  <c r="L61" i="198"/>
  <c r="L31" i="198" s="1"/>
  <c r="L28" i="198"/>
  <c r="L29" i="198"/>
  <c r="L18" i="198"/>
  <c r="K37" i="65"/>
  <c r="K41" i="65" s="1"/>
  <c r="K43" i="65" s="1"/>
  <c r="K18" i="198"/>
  <c r="K28" i="198"/>
  <c r="K27" i="198"/>
  <c r="K61" i="198"/>
  <c r="K31" i="198" s="1"/>
  <c r="K29" i="198"/>
  <c r="J18" i="198"/>
  <c r="I58" i="198"/>
  <c r="H27" i="198"/>
  <c r="E28" i="198"/>
  <c r="F29" i="198"/>
  <c r="F28" i="198"/>
  <c r="F18" i="198"/>
  <c r="F61" i="198"/>
  <c r="F31" i="198" s="1"/>
  <c r="M62" i="204" l="1"/>
  <c r="D41" i="200"/>
  <c r="C45" i="279" s="1"/>
  <c r="I40" i="198"/>
  <c r="I6" i="198" s="1"/>
  <c r="H42" i="201"/>
  <c r="H53" i="201" s="1"/>
  <c r="F3" i="330"/>
  <c r="H2" i="283"/>
  <c r="E2" i="198"/>
  <c r="D2" i="285"/>
  <c r="C2" i="279"/>
  <c r="D2" i="342"/>
  <c r="D2" i="344"/>
  <c r="D2" i="284"/>
  <c r="D2" i="341"/>
  <c r="D2" i="201"/>
  <c r="D2" i="343"/>
  <c r="D2" i="199"/>
  <c r="D2" i="65"/>
  <c r="D2" i="202"/>
  <c r="D2" i="200"/>
  <c r="J2" i="283"/>
  <c r="H3" i="330"/>
  <c r="D3" i="330"/>
  <c r="P3" i="204"/>
  <c r="J3" i="342"/>
  <c r="J3" i="202"/>
  <c r="J3" i="343"/>
  <c r="K3" i="198"/>
  <c r="I3" i="279"/>
  <c r="F3" i="283"/>
  <c r="J3" i="341"/>
  <c r="L3" i="329"/>
  <c r="J3" i="284"/>
  <c r="J3" i="200"/>
  <c r="J3" i="344"/>
  <c r="J3" i="285"/>
  <c r="J3" i="201"/>
  <c r="J3" i="199"/>
  <c r="J3" i="65"/>
  <c r="G3" i="330"/>
  <c r="I2" i="283"/>
  <c r="I3" i="341"/>
  <c r="I3" i="200"/>
  <c r="J3" i="198"/>
  <c r="I3" i="201"/>
  <c r="I3" i="342"/>
  <c r="H3" i="279"/>
  <c r="I3" i="343"/>
  <c r="I3" i="285"/>
  <c r="E3" i="283"/>
  <c r="C3" i="330"/>
  <c r="K3" i="329"/>
  <c r="C2" i="243"/>
  <c r="O3" i="204"/>
  <c r="I2" i="336"/>
  <c r="B2" i="204"/>
  <c r="I3" i="344"/>
  <c r="I3" i="284"/>
  <c r="I3" i="65"/>
  <c r="I3" i="199"/>
  <c r="I3" i="202"/>
  <c r="E2" i="200"/>
  <c r="F2" i="198"/>
  <c r="C2" i="336"/>
  <c r="E2" i="343"/>
  <c r="E2" i="342"/>
  <c r="E2" i="285"/>
  <c r="E2" i="202"/>
  <c r="E2" i="65"/>
  <c r="E2" i="284"/>
  <c r="E2" i="201"/>
  <c r="E2" i="199"/>
  <c r="D2" i="279"/>
  <c r="E2" i="341"/>
  <c r="E2" i="344"/>
  <c r="F2" i="65"/>
  <c r="G2" i="198"/>
  <c r="F2" i="343"/>
  <c r="F2" i="342"/>
  <c r="F2" i="285"/>
  <c r="F2" i="344"/>
  <c r="F2" i="336"/>
  <c r="E2" i="279"/>
  <c r="F2" i="284"/>
  <c r="F2" i="200"/>
  <c r="F2" i="199"/>
  <c r="F2" i="202"/>
  <c r="F2" i="341"/>
  <c r="F2" i="201"/>
  <c r="D2" i="283"/>
  <c r="K3" i="65"/>
  <c r="K3" i="200"/>
  <c r="K3" i="344"/>
  <c r="K3" i="284"/>
  <c r="K3" i="201"/>
  <c r="K3" i="341"/>
  <c r="K3" i="199"/>
  <c r="Q3" i="204"/>
  <c r="E3" i="330"/>
  <c r="K3" i="342"/>
  <c r="G3" i="283"/>
  <c r="L3" i="198"/>
  <c r="M3" i="329"/>
  <c r="K3" i="202"/>
  <c r="J3" i="279"/>
  <c r="K3" i="285"/>
  <c r="K3" i="343"/>
  <c r="C2" i="343"/>
  <c r="C2" i="341"/>
  <c r="B2" i="279"/>
  <c r="C2" i="201"/>
  <c r="D2" i="198"/>
  <c r="C2" i="285"/>
  <c r="C2" i="200"/>
  <c r="C2" i="199"/>
  <c r="C2" i="344"/>
  <c r="C2" i="284"/>
  <c r="C2" i="202"/>
  <c r="C2" i="342"/>
  <c r="C2" i="65"/>
  <c r="C42" i="201"/>
  <c r="C53" i="201" s="1"/>
  <c r="D40" i="198"/>
  <c r="D6" i="198" s="1"/>
  <c r="E40" i="200"/>
  <c r="E41" i="200" s="1"/>
  <c r="E46" i="200" s="1"/>
  <c r="I46" i="200"/>
  <c r="H45" i="279"/>
  <c r="J40" i="200"/>
  <c r="J41" i="200" s="1"/>
  <c r="K42" i="201"/>
  <c r="K53" i="201" s="1"/>
  <c r="L40" i="198"/>
  <c r="L6" i="198" s="1"/>
  <c r="D13" i="198"/>
  <c r="D14" i="198"/>
  <c r="G28" i="198"/>
  <c r="G61" i="198"/>
  <c r="G31" i="198" s="1"/>
  <c r="G29" i="198"/>
  <c r="G27" i="198"/>
  <c r="I61" i="198"/>
  <c r="I31" i="198" s="1"/>
  <c r="I18" i="198"/>
  <c r="I29" i="198"/>
  <c r="I28" i="198"/>
  <c r="I27" i="198"/>
  <c r="D46" i="200" l="1"/>
  <c r="D45" i="279"/>
  <c r="J46" i="200"/>
  <c r="I45" i="279"/>
  <c r="K40" i="200"/>
  <c r="K41" i="200" s="1"/>
  <c r="K46" i="200" l="1"/>
  <c r="J45" i="279"/>
</calcChain>
</file>

<file path=xl/sharedStrings.xml><?xml version="1.0" encoding="utf-8"?>
<sst xmlns="http://schemas.openxmlformats.org/spreadsheetml/2006/main" count="2343" uniqueCount="1069">
  <si>
    <t>Medical Aid Contributions</t>
  </si>
  <si>
    <t>Performance Bonus</t>
  </si>
  <si>
    <t>Remuneration of Board Members</t>
  </si>
  <si>
    <t>Water</t>
  </si>
  <si>
    <t>Sanitation</t>
  </si>
  <si>
    <t>Schedule of funding diligence</t>
  </si>
  <si>
    <t>Other expenditure</t>
  </si>
  <si>
    <t>Share capital</t>
  </si>
  <si>
    <t>Present value</t>
  </si>
  <si>
    <t>Forecasts</t>
  </si>
  <si>
    <t>Future operational costs by vote</t>
  </si>
  <si>
    <t>Future revenue by source</t>
  </si>
  <si>
    <t>Net Financial Implications</t>
  </si>
  <si>
    <t>Total future operational costs</t>
  </si>
  <si>
    <t>Total future revenue</t>
  </si>
  <si>
    <t>Revenue Management</t>
  </si>
  <si>
    <t>Decrease (Increase) in non-current debtors</t>
  </si>
  <si>
    <t>Abattoirs</t>
  </si>
  <si>
    <t>Markets</t>
  </si>
  <si>
    <t>Forecast 2019/20</t>
  </si>
  <si>
    <t>Forecast 2018/19</t>
  </si>
  <si>
    <t>E</t>
  </si>
  <si>
    <t>F</t>
  </si>
  <si>
    <t>G</t>
  </si>
  <si>
    <t>National Government</t>
  </si>
  <si>
    <t>(Available cash + Investments)/monthly fixed operational expenditure</t>
  </si>
  <si>
    <t>Finance charges</t>
  </si>
  <si>
    <t>Other revenue</t>
  </si>
  <si>
    <t>Non current assets</t>
  </si>
  <si>
    <t>LIABILITIES</t>
  </si>
  <si>
    <t>Non current liabilities</t>
  </si>
  <si>
    <t>Total non current liabilities</t>
  </si>
  <si>
    <t>Total current liabilities</t>
  </si>
  <si>
    <t>Nat. or Prov. Govt</t>
  </si>
  <si>
    <t>Multi-year capital</t>
  </si>
  <si>
    <t>Cash/cash equivalents at the year end</t>
  </si>
  <si>
    <t xml:space="preserve"> - Adjustments Budget - Month YYYY</t>
  </si>
  <si>
    <t>Taxation</t>
  </si>
  <si>
    <t>Annual Debtors Collection Rate (Payment Level %)</t>
  </si>
  <si>
    <t>Outstanding Debtors to Revenue</t>
  </si>
  <si>
    <t>Funded by:</t>
  </si>
  <si>
    <t>Internally generated funds</t>
  </si>
  <si>
    <t>Employee costs</t>
  </si>
  <si>
    <t>C</t>
  </si>
  <si>
    <t>Public contributions &amp; donations</t>
  </si>
  <si>
    <t>Surplus/ (Deficit) for the yr/period</t>
  </si>
  <si>
    <t>Revenue by Source</t>
  </si>
  <si>
    <t>Unit of measurement</t>
  </si>
  <si>
    <t>Year11</t>
  </si>
  <si>
    <t>Year12</t>
  </si>
  <si>
    <t>Year13</t>
  </si>
  <si>
    <t>Year14</t>
  </si>
  <si>
    <t>Year15</t>
  </si>
  <si>
    <t>Revenue By Source</t>
  </si>
  <si>
    <t>Expenditure By Type</t>
  </si>
  <si>
    <t>Total Expenditure</t>
  </si>
  <si>
    <t>Surplus/(Deficit)</t>
  </si>
  <si>
    <t>Total outstanding service debtors/annual revenue received for services</t>
  </si>
  <si>
    <t>Financial position</t>
  </si>
  <si>
    <t>Cash flows</t>
  </si>
  <si>
    <t>Other own revenue</t>
  </si>
  <si>
    <t>Materials and bulk purchases</t>
  </si>
  <si>
    <t>Investment revenue</t>
  </si>
  <si>
    <t>Munishort</t>
  </si>
  <si>
    <t>Community wealth/Equity</t>
  </si>
  <si>
    <t>Remuneration of Directors</t>
  </si>
  <si>
    <t>2. Bulk purchases - water</t>
  </si>
  <si>
    <r>
      <t xml:space="preserve">1. Revenue includes </t>
    </r>
    <r>
      <rPr>
        <i/>
        <u/>
        <sz val="8"/>
        <rFont val="Arial Narrow"/>
        <family val="2"/>
      </rPr>
      <t>sales</t>
    </r>
    <r>
      <rPr>
        <i/>
        <sz val="8"/>
        <rFont val="Arial Narrow"/>
        <family val="2"/>
      </rPr>
      <t xml:space="preserve"> of: (insert description)</t>
    </r>
  </si>
  <si>
    <t>Water Distribution Losses</t>
  </si>
  <si>
    <t>Electricity Distribution Losses</t>
  </si>
  <si>
    <t>Head40</t>
  </si>
  <si>
    <t>Head41</t>
  </si>
  <si>
    <t>Head42</t>
  </si>
  <si>
    <t>Sub Total - Other Staff of Entities</t>
  </si>
  <si>
    <t>Funding of Provisions</t>
  </si>
  <si>
    <t>Percentage Of Provisions Not Funded</t>
  </si>
  <si>
    <t>Unfunded Provisions/Total Provisions</t>
  </si>
  <si>
    <t>Other Indicators</t>
  </si>
  <si>
    <t>Borrowing Management</t>
  </si>
  <si>
    <t>Total Contract Value</t>
  </si>
  <si>
    <t>2004/05</t>
  </si>
  <si>
    <t>2003/04</t>
  </si>
  <si>
    <t>Audited Outcome</t>
  </si>
  <si>
    <t>Quarter ended 30 June</t>
  </si>
  <si>
    <t>Head35</t>
  </si>
  <si>
    <t>Quarter ended 30 September</t>
  </si>
  <si>
    <t>B</t>
  </si>
  <si>
    <t>Expenditure Obligation By Contract - Operating</t>
  </si>
  <si>
    <t>Revenue Obligation By Contract - Operating</t>
  </si>
  <si>
    <t>Total Operating Revenue Implication</t>
  </si>
  <si>
    <t>Total Capital Expenditure Implication</t>
  </si>
  <si>
    <t>Total Expenditure Implication</t>
  </si>
  <si>
    <t>2. List all contracts with future financial obligations beyond the three years covered by the MTREF (MFMA s33)</t>
  </si>
  <si>
    <t>Overtime</t>
  </si>
  <si>
    <t>ASSETS</t>
  </si>
  <si>
    <t>Current assets</t>
  </si>
  <si>
    <t>Investments</t>
  </si>
  <si>
    <t>Current liabilities</t>
  </si>
  <si>
    <t>Provisions</t>
  </si>
  <si>
    <t>Head25</t>
  </si>
  <si>
    <t>fdil</t>
  </si>
  <si>
    <t>1. The format of the objectives are to be negotiated between the entity and the municipality</t>
  </si>
  <si>
    <t>Head5A</t>
  </si>
  <si>
    <t>Outcome</t>
  </si>
  <si>
    <t>Libraries</t>
  </si>
  <si>
    <t>2006/07</t>
  </si>
  <si>
    <t>Refuse</t>
  </si>
  <si>
    <t>Board Members of Entities</t>
  </si>
  <si>
    <t>Board Fees</t>
  </si>
  <si>
    <t>Forecast 2014/15</t>
  </si>
  <si>
    <t>Forecast 2015/16</t>
  </si>
  <si>
    <t>Forecast 2016/17</t>
  </si>
  <si>
    <t>Forecast 2017/18</t>
  </si>
  <si>
    <t>Forecast 2020/21</t>
  </si>
  <si>
    <t>Head28</t>
  </si>
  <si>
    <t>Result</t>
  </si>
  <si>
    <t>Total Capital expenditure</t>
  </si>
  <si>
    <t>Accumulated Surplus/(Deficit)</t>
  </si>
  <si>
    <t>Ref</t>
  </si>
  <si>
    <t>Preceding Years</t>
  </si>
  <si>
    <t>Total Operating Expenditure Implication</t>
  </si>
  <si>
    <t>Total sources of capital funds</t>
  </si>
  <si>
    <t>Head48</t>
  </si>
  <si>
    <t>Estimate</t>
  </si>
  <si>
    <t>Contract 1</t>
  </si>
  <si>
    <t>Contract 2</t>
  </si>
  <si>
    <t>Contract 3 etc</t>
  </si>
  <si>
    <t>Loss on disposal of PPE</t>
  </si>
  <si>
    <t>Head1A</t>
  </si>
  <si>
    <t>A</t>
  </si>
  <si>
    <t>1. If benefits in kind are provided (e.g. provision of living quarters) the full market value must be shown as the cost to the municipality</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</si>
  <si>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</si>
  <si>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</si>
  <si>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</si>
  <si>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</si>
  <si>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</si>
  <si>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</si>
  <si>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</si>
  <si>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</si>
  <si>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</si>
  <si>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</si>
  <si>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</si>
  <si>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check</t>
  </si>
  <si>
    <t>Provincial Government</t>
  </si>
  <si>
    <t>District Municipality</t>
  </si>
  <si>
    <t>Column Definitions:</t>
  </si>
  <si>
    <t>D</t>
  </si>
  <si>
    <t>LTFS</t>
  </si>
  <si>
    <t>Expiry date of investment</t>
  </si>
  <si>
    <t>H</t>
  </si>
  <si>
    <t>I</t>
  </si>
  <si>
    <t>Other Managers</t>
  </si>
  <si>
    <t>Total capital expenditure</t>
  </si>
  <si>
    <t>Original Budget</t>
  </si>
  <si>
    <t>Debt impairment</t>
  </si>
  <si>
    <t>Quarter ended 31 December</t>
  </si>
  <si>
    <t>Quarter ended 31 March</t>
  </si>
  <si>
    <t>Head44</t>
  </si>
  <si>
    <t>Head45</t>
  </si>
  <si>
    <t>2001 Census</t>
  </si>
  <si>
    <t>1996 Census</t>
  </si>
  <si>
    <t>Electricity</t>
  </si>
  <si>
    <t>Year10</t>
  </si>
  <si>
    <t>TOTAL COMMUNITY WEALTH/EQUITY</t>
  </si>
  <si>
    <t>Head24</t>
  </si>
  <si>
    <t>Desc</t>
  </si>
  <si>
    <t>Downward adjusts</t>
  </si>
  <si>
    <t>Previous target year to complete</t>
  </si>
  <si>
    <t>Total non current assets</t>
  </si>
  <si>
    <t>Total current assets</t>
  </si>
  <si>
    <t>COMMUNITY WEALTH/EQUITY</t>
  </si>
  <si>
    <t>Head49</t>
  </si>
  <si>
    <t>Head50</t>
  </si>
  <si>
    <t>Virement</t>
  </si>
  <si>
    <t>Total Outstanding Debtors to Annual Revenue</t>
  </si>
  <si>
    <t>Current assets/current liabilities less debtors &gt; 90 days</t>
  </si>
  <si>
    <t>Current Ratio adjusted for debtors</t>
  </si>
  <si>
    <t>Project number</t>
  </si>
  <si>
    <t>New or renewal</t>
  </si>
  <si>
    <t>Project information</t>
  </si>
  <si>
    <t>Ward location</t>
  </si>
  <si>
    <t>Common sheet headings</t>
  </si>
  <si>
    <t>Infrastructure</t>
  </si>
  <si>
    <t>Head47</t>
  </si>
  <si>
    <t>Head27a</t>
  </si>
  <si>
    <t>References</t>
  </si>
  <si>
    <t>Net cash from (used) financing</t>
  </si>
  <si>
    <t>Net cash from (used) operating</t>
  </si>
  <si>
    <t>Net cash from (used) investing</t>
  </si>
  <si>
    <t>Municipal Entities budget schedules</t>
  </si>
  <si>
    <t>i. Debt coverage</t>
  </si>
  <si>
    <t>iii. Cost coverage</t>
  </si>
  <si>
    <t>Forecast Financial Position</t>
  </si>
  <si>
    <t>Cash1</t>
  </si>
  <si>
    <t>Cash2</t>
  </si>
  <si>
    <t>Muni</t>
  </si>
  <si>
    <t>Head1B</t>
  </si>
  <si>
    <t>Head26</t>
  </si>
  <si>
    <t>Vote Description</t>
  </si>
  <si>
    <t>VDesc</t>
  </si>
  <si>
    <t>Head27</t>
  </si>
  <si>
    <t>Depreciation &amp; asset impairment</t>
  </si>
  <si>
    <t>Head55</t>
  </si>
  <si>
    <t>Borrowed funding of capital expenditure</t>
  </si>
  <si>
    <t>MEBsum</t>
  </si>
  <si>
    <t>Dividends</t>
  </si>
  <si>
    <t>R thousands</t>
  </si>
  <si>
    <t>Heritage assets</t>
  </si>
  <si>
    <t>Investment properties</t>
  </si>
  <si>
    <t>Other assets</t>
  </si>
  <si>
    <t>Remuneration</t>
  </si>
  <si>
    <t>Municipal Vote/Capital project</t>
  </si>
  <si>
    <t>Description</t>
  </si>
  <si>
    <t>Total</t>
  </si>
  <si>
    <t>YTD  Actual 31 Dec</t>
  </si>
  <si>
    <t>YTD  Budget 31 Dec</t>
  </si>
  <si>
    <t>MEB1</t>
  </si>
  <si>
    <t>MEB2</t>
  </si>
  <si>
    <t>MEB3</t>
  </si>
  <si>
    <t>MEB4</t>
  </si>
  <si>
    <t>MEB5</t>
  </si>
  <si>
    <t>MEB6</t>
  </si>
  <si>
    <t>Head2A</t>
  </si>
  <si>
    <t>6. Include contributions from Public Entities; e.g. Eskom</t>
  </si>
  <si>
    <t>Budget Cash Flow</t>
  </si>
  <si>
    <t>Forecast Cash Flow</t>
  </si>
  <si>
    <t>Expenditure includes repairs &amp; maintenance of R'000</t>
  </si>
  <si>
    <t>RandM</t>
  </si>
  <si>
    <t>Grants</t>
  </si>
  <si>
    <t>Ratepayers and other</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</si>
  <si>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</si>
  <si>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</si>
  <si>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</si>
  <si>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</si>
  <si>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</si>
  <si>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</si>
  <si>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</si>
  <si>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</si>
  <si>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</si>
  <si>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</si>
  <si>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</si>
  <si>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</si>
  <si>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</si>
  <si>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</si>
  <si>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</si>
  <si>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</si>
  <si>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</si>
  <si>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MEB7</t>
  </si>
  <si>
    <t>Permanent employees</t>
  </si>
  <si>
    <t>Finance</t>
  </si>
  <si>
    <t>3. Refer municipal budget requirements</t>
  </si>
  <si>
    <t>Head57</t>
  </si>
  <si>
    <t xml:space="preserve">Month DD, YYYY - </t>
  </si>
  <si>
    <t>YearTD actual</t>
  </si>
  <si>
    <t>YearTD budget</t>
  </si>
  <si>
    <t>Other Staff of Entities</t>
  </si>
  <si>
    <t>Other</t>
  </si>
  <si>
    <t>check balance</t>
  </si>
  <si>
    <t>CASH FLOWS FROM INVESTING ACTIVITIES</t>
  </si>
  <si>
    <t>% increase</t>
  </si>
  <si>
    <t>Gearing</t>
  </si>
  <si>
    <t>Safety of Capital</t>
  </si>
  <si>
    <t>Liquidity</t>
  </si>
  <si>
    <t>Liquidity Ratio</t>
  </si>
  <si>
    <t>I&amp;D/Total Revenue - capital revenue</t>
  </si>
  <si>
    <t>Head36</t>
  </si>
  <si>
    <t>Head37</t>
  </si>
  <si>
    <t>Head38</t>
  </si>
  <si>
    <t>CASH FLOWS FROM FINANCING ACTIVITIES</t>
  </si>
  <si>
    <t>Bank overdraft</t>
  </si>
  <si>
    <t>Budget</t>
  </si>
  <si>
    <t>Head39</t>
  </si>
  <si>
    <t>Monthly actual</t>
  </si>
  <si>
    <t>Financial Performance</t>
  </si>
  <si>
    <t>Standard nomenclature</t>
  </si>
  <si>
    <t>External mechanism</t>
  </si>
  <si>
    <t>Name of organisation</t>
  </si>
  <si>
    <t>Expiry date of service delivery agreement or contract</t>
  </si>
  <si>
    <t>1. Total period from commencement until end</t>
  </si>
  <si>
    <t>Service provided</t>
  </si>
  <si>
    <t>2. Annual value</t>
  </si>
  <si>
    <t>Information Technology</t>
  </si>
  <si>
    <t>Repairs &amp; Maintenance</t>
  </si>
  <si>
    <t>Interest &amp; Depreciation</t>
  </si>
  <si>
    <t>Employee costs/Total Revenue - capital revenue</t>
  </si>
  <si>
    <t>R&amp;M/Total Revenue - capital revenue</t>
  </si>
  <si>
    <t>Head29</t>
  </si>
  <si>
    <t>Head30</t>
  </si>
  <si>
    <t>Head31</t>
  </si>
  <si>
    <t>Head32</t>
  </si>
  <si>
    <t>Head33</t>
  </si>
  <si>
    <t>Head34</t>
  </si>
  <si>
    <t>Annual target 2007/08</t>
  </si>
  <si>
    <t>Revised target 2007/08</t>
  </si>
  <si>
    <t>Sub Total - Board Members of Entities</t>
  </si>
  <si>
    <t>Basis of calculation</t>
  </si>
  <si>
    <t>NET ASSETS</t>
  </si>
  <si>
    <t>TOTAL ASSETS</t>
  </si>
  <si>
    <t>Cash/cash equivalents at the year end:</t>
  </si>
  <si>
    <t>Borrowing</t>
  </si>
  <si>
    <t>July</t>
  </si>
  <si>
    <t>Head43</t>
  </si>
  <si>
    <t>YTD variance</t>
  </si>
  <si>
    <t>Cash</t>
  </si>
  <si>
    <t>Current portion of long-term receivables</t>
  </si>
  <si>
    <t>Trade and other payables</t>
  </si>
  <si>
    <t>(Total Operating Revenue - Operating Grants)/Debt service payments due within financial year)</t>
  </si>
  <si>
    <t>Notes</t>
  </si>
  <si>
    <t>Cash flow</t>
  </si>
  <si>
    <t>Parent Municipality</t>
  </si>
  <si>
    <t>Head56</t>
  </si>
  <si>
    <t>Total Adjusts.</t>
  </si>
  <si>
    <t>Total Long-term Borrowing/ Total Assets</t>
  </si>
  <si>
    <t>% of Creditors Paid Within Terms (within MFMA s 65(e))</t>
  </si>
  <si>
    <t>ii. O/S Service Debtors to Revenue</t>
  </si>
  <si>
    <t>Long Term Borrowing / Funds &amp; Reserves</t>
  </si>
  <si>
    <t>Loans, Accounts Payable, Overdraft &amp; Tax Provision / Funds &amp; Reserves</t>
  </si>
  <si>
    <t>Monetary Assets / Current Liabilities</t>
  </si>
  <si>
    <t>Current assets / current liabilities</t>
  </si>
  <si>
    <t>Last 12 Mths Receipts / Last 12 Mths Billing</t>
  </si>
  <si>
    <t>Debtors &gt; 12 Mths Recovered / Total Debtors &gt; 12 Months Old</t>
  </si>
  <si>
    <t>Period of investment</t>
  </si>
  <si>
    <t>Type of investment</t>
  </si>
  <si>
    <t>Yield
%</t>
  </si>
  <si>
    <t>Years/months</t>
  </si>
  <si>
    <t>Months</t>
  </si>
  <si>
    <t>Borrowing to Asset Ratio</t>
  </si>
  <si>
    <t>Capital Charges to Operating Expenditure</t>
  </si>
  <si>
    <t>Current Ratio</t>
  </si>
  <si>
    <t>(1) Delete if not an electricity entity</t>
  </si>
  <si>
    <t>Financial viability indicators</t>
  </si>
  <si>
    <t>(2) Delete if not an water entity</t>
  </si>
  <si>
    <t>Head51</t>
  </si>
  <si>
    <t>Head52</t>
  </si>
  <si>
    <t>Head53</t>
  </si>
  <si>
    <t>Head54</t>
  </si>
  <si>
    <t>Accum. Funds</t>
  </si>
  <si>
    <t>Other Adjusts.</t>
  </si>
  <si>
    <t>Unfore. Unavoid.</t>
  </si>
  <si>
    <t>Senior Managers of Entities</t>
  </si>
  <si>
    <t>Sub Total - Senior Managers of Entities</t>
  </si>
  <si>
    <t>Medium Term Revenue and Expenditure Framework</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</si>
  <si>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</si>
  <si>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</si>
  <si>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</si>
  <si>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</si>
  <si>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</si>
  <si>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</si>
  <si>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</si>
  <si>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</si>
  <si>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Cash/cash equivalents at the year begin:</t>
  </si>
  <si>
    <t>Interest earned - external investments</t>
  </si>
  <si>
    <t>Interest earned - outstanding debtors</t>
  </si>
  <si>
    <t>Licences and permits</t>
  </si>
  <si>
    <t>Gains on disposal of PPE</t>
  </si>
  <si>
    <t>Employee related costs</t>
  </si>
  <si>
    <t>Bulk purchases</t>
  </si>
  <si>
    <t>Contracted services</t>
  </si>
  <si>
    <t>Budgeted Financial Performance</t>
  </si>
  <si>
    <t>Forecast Financial Performance</t>
  </si>
  <si>
    <t>SFPerf1</t>
  </si>
  <si>
    <t>SFPerf2</t>
  </si>
  <si>
    <t>SFPos1</t>
  </si>
  <si>
    <t>SFPos2</t>
  </si>
  <si>
    <t>Budgeted Financial Position</t>
  </si>
  <si>
    <t>1. Summarise the total capital cost until capital project is operational (MFMA s19(2)(a))</t>
  </si>
  <si>
    <t>2. Summary of future operational costs from when projects operational (present value until the end of each asset's useful life) (MFMA s19(2)(b))</t>
  </si>
  <si>
    <t>3. Summarise the future revenue from when projects are operational, including municipal tax and tariff implications, (present value until the end of asset's useful life)</t>
  </si>
  <si>
    <t>3. Include deferred tax and tax provisions</t>
  </si>
  <si>
    <t>Market value</t>
  </si>
  <si>
    <t>Begin</t>
  </si>
  <si>
    <t>End</t>
  </si>
  <si>
    <t>Interest</t>
  </si>
  <si>
    <t>Fully accrued</t>
  </si>
  <si>
    <t>Summary of Employee and Board Member remuneration</t>
  </si>
  <si>
    <t>Dividends paid</t>
  </si>
  <si>
    <t>Decrease (increase) other non-current receivables</t>
  </si>
  <si>
    <t>Decrease (increase) in non-current investments</t>
  </si>
  <si>
    <t>NET CASH FROM/(USED) OPERATING ACTIVITIES</t>
  </si>
  <si>
    <t>NET CASH FROM/(USED) INVESTING ACTIVITIES</t>
  </si>
  <si>
    <t>NET CASH FROM/(USED) FINANCING ACTIVITIES</t>
  </si>
  <si>
    <t>MEB8</t>
  </si>
  <si>
    <t>Total Capital Funding</t>
  </si>
  <si>
    <t>Surplus/ (Deficit) for the year</t>
  </si>
  <si>
    <t>Investments by maturity
Name of institution &amp; investment ID</t>
  </si>
  <si>
    <t>Receipts</t>
  </si>
  <si>
    <t>Payments</t>
  </si>
  <si>
    <t>Repayment of borrowing</t>
  </si>
  <si>
    <t>Short term loans</t>
  </si>
  <si>
    <t>NET INCREASE/ (DECREASE) IN CASH HELD</t>
  </si>
  <si>
    <t>Reserves</t>
  </si>
  <si>
    <t>Head1</t>
  </si>
  <si>
    <t>August</t>
  </si>
  <si>
    <t>Sept.</t>
  </si>
  <si>
    <t>October</t>
  </si>
  <si>
    <t>November</t>
  </si>
  <si>
    <t>December</t>
  </si>
  <si>
    <t>January</t>
  </si>
  <si>
    <t>February</t>
  </si>
  <si>
    <t>March</t>
  </si>
  <si>
    <t>April</t>
  </si>
  <si>
    <t>May</t>
  </si>
  <si>
    <t>June</t>
  </si>
  <si>
    <t>Other materials</t>
  </si>
  <si>
    <t>Dividends received</t>
  </si>
  <si>
    <t>Proceeds on disposal of PPE</t>
  </si>
  <si>
    <t>Head46</t>
  </si>
  <si>
    <t>Total Project Estimate</t>
  </si>
  <si>
    <t>Capital expenditure &amp; funds sources</t>
  </si>
  <si>
    <t>Property rates</t>
  </si>
  <si>
    <t>Head2</t>
  </si>
  <si>
    <t>Head3</t>
  </si>
  <si>
    <t>Head4</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</si>
  <si>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</si>
  <si>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</si>
  <si>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</si>
  <si>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</si>
  <si>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</si>
  <si>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</si>
  <si>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</si>
  <si>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</si>
  <si>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</si>
  <si>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</si>
  <si>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</si>
  <si>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</si>
  <si>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</si>
  <si>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</si>
  <si>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</si>
  <si>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</si>
  <si>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</si>
  <si>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</si>
  <si>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</si>
  <si>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</si>
  <si>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2. Bulk purchases - electricity</t>
  </si>
  <si>
    <t>Borrowing long term/refinancing</t>
  </si>
  <si>
    <t>MEB10</t>
  </si>
  <si>
    <t>MEB11</t>
  </si>
  <si>
    <t>Performance target description</t>
  </si>
  <si>
    <t>Description of indicator</t>
  </si>
  <si>
    <t>Expenditure Obligation By Contract - Capital</t>
  </si>
  <si>
    <t>Total Municipal Entities remuneration</t>
  </si>
  <si>
    <t>Transfers recognised - capital</t>
  </si>
  <si>
    <t>A. Audited actual for prior year (3 years before current year) as per the audited financial statements</t>
  </si>
  <si>
    <t>B. Audited actual for prior year (2 years before current year) as per the audited financial statements</t>
  </si>
  <si>
    <t>C. Audited actual for prior year (1 year before current year) as per the audited financial statements</t>
  </si>
  <si>
    <t>D. The original budget approved by council for the current year</t>
  </si>
  <si>
    <t>G. The amount to be appropriated for the budget year</t>
  </si>
  <si>
    <t>F. An estimate of final actual amounts (pre audit) for the current year at the point in time of preparing the next MTREF. This may differ from E</t>
  </si>
  <si>
    <t>E. The budget for current year as adjusted by council resolution in terms of section 28 of the MFMA</t>
  </si>
  <si>
    <t>H. The indicative projection for the 2nd year of the MTREF</t>
  </si>
  <si>
    <t>I. The indicative projection for the 3rd year of the MTREF</t>
  </si>
  <si>
    <t>1. Total investments must reconcile to budget table D6 for the Current Year</t>
  </si>
  <si>
    <t>1. Must reconcile with budget table D5</t>
  </si>
  <si>
    <t>2. Must reconcile with budget table D6</t>
  </si>
  <si>
    <t>Forecast</t>
  </si>
  <si>
    <r>
      <t xml:space="preserve">1. Total implication for </t>
    </r>
    <r>
      <rPr>
        <i/>
        <u/>
        <sz val="8"/>
        <rFont val="Arial Narrow"/>
        <family val="2"/>
      </rPr>
      <t>all</t>
    </r>
    <r>
      <rPr>
        <i/>
        <sz val="8"/>
        <rFont val="Arial Narrow"/>
        <family val="2"/>
      </rPr>
      <t xml:space="preserve"> years to be summed and total stated in 'Preceding Years' column</t>
    </r>
  </si>
  <si>
    <t>Prior Adjusted</t>
  </si>
  <si>
    <t>Service charges</t>
  </si>
  <si>
    <t>Rental of facilities and equipment</t>
  </si>
  <si>
    <t>Head5B</t>
  </si>
  <si>
    <t>Pre-audit outcome</t>
  </si>
  <si>
    <t>Head58</t>
  </si>
  <si>
    <t>Parent muni.</t>
  </si>
  <si>
    <t>Head59</t>
  </si>
  <si>
    <t>Head3A</t>
  </si>
  <si>
    <t>TOTAL LIABILITIES</t>
  </si>
  <si>
    <t>MEB1A</t>
  </si>
  <si>
    <t>Debt to Equity</t>
  </si>
  <si>
    <t>Longstanding Debtors Reduction Due To Recovery</t>
  </si>
  <si>
    <t>Creditors Management</t>
  </si>
  <si>
    <t>Creditors System Efficiency</t>
  </si>
  <si>
    <t xml:space="preserve">Entity Financial Performance Bugdet (Revenue &amp; Expenditure by Municipal Vote) - </t>
  </si>
  <si>
    <t>Names</t>
  </si>
  <si>
    <t>Suppliers, employees and other</t>
  </si>
  <si>
    <t>Borrowing long term/refinancing/short term</t>
  </si>
  <si>
    <t>Calculation data</t>
  </si>
  <si>
    <t>Finance charges &amp; Depreciation / Operating Expenditure</t>
  </si>
  <si>
    <t>Debt</t>
  </si>
  <si>
    <t>Debtors &gt; 90 days</t>
  </si>
  <si>
    <t>Monetary current assets</t>
  </si>
  <si>
    <t>Last 12 months receipts</t>
  </si>
  <si>
    <t>Last 12 months billing</t>
  </si>
  <si>
    <t>Outstanding debtors</t>
  </si>
  <si>
    <t>Repairs and maintenance</t>
  </si>
  <si>
    <t>Total Operating Revenue - Operating Grants</t>
  </si>
  <si>
    <t>Debt service payments due within financial year</t>
  </si>
  <si>
    <t>Outstanding service debtors</t>
  </si>
  <si>
    <t>Annual revenue received for services</t>
  </si>
  <si>
    <t>Cash and investments</t>
  </si>
  <si>
    <t>Fixed operational percentage estimate</t>
  </si>
  <si>
    <t>Monthly fixed operational expenditure</t>
  </si>
  <si>
    <t>List program summary</t>
  </si>
  <si>
    <t>Summarise future operational costs by program</t>
  </si>
  <si>
    <t>Summarise future revenue implications by revenue source</t>
  </si>
  <si>
    <t>Include major projects separately</t>
  </si>
  <si>
    <t>Summarise capital projects grouped by program</t>
  </si>
  <si>
    <t>Grants:</t>
  </si>
  <si>
    <t>National - opex</t>
  </si>
  <si>
    <t>Provincial - opex</t>
  </si>
  <si>
    <t>National - capex</t>
  </si>
  <si>
    <t>Provincial - capex</t>
  </si>
  <si>
    <t>2005/06</t>
  </si>
  <si>
    <t>2007/08</t>
  </si>
  <si>
    <t>2008/09</t>
  </si>
  <si>
    <t xml:space="preserve">  Equitable share</t>
  </si>
  <si>
    <t xml:space="preserve">  Health subsidy</t>
  </si>
  <si>
    <t xml:space="preserve">  Municipal Infrastructure (MIG)</t>
  </si>
  <si>
    <t xml:space="preserve">  Levy replacement</t>
  </si>
  <si>
    <t xml:space="preserve">  Ambulance subsidy</t>
  </si>
  <si>
    <t xml:space="preserve">  Public Transport</t>
  </si>
  <si>
    <t xml:space="preserve">  Finance Management</t>
  </si>
  <si>
    <t xml:space="preserve">  Housing</t>
  </si>
  <si>
    <t xml:space="preserve">  Public Works</t>
  </si>
  <si>
    <t>Current Year 2006/07</t>
  </si>
  <si>
    <t>Current Year 2007/08</t>
  </si>
  <si>
    <t>Current Year 2008/09</t>
  </si>
  <si>
    <t xml:space="preserve">  Municipal Systems Improvement</t>
  </si>
  <si>
    <t xml:space="preserve">  Sports and Recreation</t>
  </si>
  <si>
    <t xml:space="preserve">  Sport and Recreation</t>
  </si>
  <si>
    <t xml:space="preserve">  Restructuring</t>
  </si>
  <si>
    <t xml:space="preserve">  Water Affairs</t>
  </si>
  <si>
    <t>2007/08 Medium Term Revenue &amp; Expenditure Framework</t>
  </si>
  <si>
    <t>2008/09 Medium Term Revenue &amp; Expenditure Framework</t>
  </si>
  <si>
    <t>2009/10 Medium Term Revenue &amp; Expenditure Framework</t>
  </si>
  <si>
    <t xml:space="preserve">  Department of Water Affairs</t>
  </si>
  <si>
    <t>Budget Year 2007/08</t>
  </si>
  <si>
    <t>Budget Year 2008/09</t>
  </si>
  <si>
    <t>Budget Year 2009/10</t>
  </si>
  <si>
    <t>Budget Year +1 2008/09</t>
  </si>
  <si>
    <t>Budget Year +1 2009/10</t>
  </si>
  <si>
    <t>Budget Year +1 2010/11</t>
  </si>
  <si>
    <t>Budget Year +2 2009/10</t>
  </si>
  <si>
    <t>Budget Year +2 2010/11</t>
  </si>
  <si>
    <t>Budget Year +2 2011/12</t>
  </si>
  <si>
    <t>Forecast 2022/23</t>
  </si>
  <si>
    <t>Forecast 2023/24</t>
  </si>
  <si>
    <t>Adjustments Budget</t>
  </si>
  <si>
    <t>Annual target 2008/09</t>
  </si>
  <si>
    <t>Annual target 2009/10</t>
  </si>
  <si>
    <t>Revised target 2008/09</t>
  </si>
  <si>
    <t>Revised target 2009/10</t>
  </si>
  <si>
    <t>Prior year -1</t>
  </si>
  <si>
    <t>Prior year -2</t>
  </si>
  <si>
    <t>Prior year -3</t>
  </si>
  <si>
    <t>Year in which budget is being prepared</t>
  </si>
  <si>
    <t>MTREF name</t>
  </si>
  <si>
    <t>1st year of MTREF</t>
  </si>
  <si>
    <t>2nd year of MTREF</t>
  </si>
  <si>
    <t>3rd year of MTREF</t>
  </si>
  <si>
    <t>1st yr of long term forecast</t>
  </si>
  <si>
    <t>Next yr of long term forecast</t>
  </si>
  <si>
    <t>NOTE: This sheet should not be directly amended - select headings from sheet 'Start'</t>
  </si>
  <si>
    <t xml:space="preserve">Table D1 </t>
  </si>
  <si>
    <t xml:space="preserve">Table D2 </t>
  </si>
  <si>
    <t xml:space="preserve">Table D3 </t>
  </si>
  <si>
    <t xml:space="preserve">Table D4 </t>
  </si>
  <si>
    <t xml:space="preserve">Table D5 </t>
  </si>
  <si>
    <t>Total Revenue (excluding capital transfers and contributions)</t>
  </si>
  <si>
    <t>Reticulation</t>
  </si>
  <si>
    <t>Summary of Personnel Numbers</t>
  </si>
  <si>
    <t>Number</t>
  </si>
  <si>
    <t>Positions</t>
  </si>
  <si>
    <t>Contract employees</t>
  </si>
  <si>
    <t>Municipal Council and Boards of Municipal Entities</t>
  </si>
  <si>
    <t>Councillors (Political Office Bearers plus Other Councillors)</t>
  </si>
  <si>
    <t>Board Members of municipal entities</t>
  </si>
  <si>
    <t>Professionals</t>
  </si>
  <si>
    <t>Spatial/town planning</t>
  </si>
  <si>
    <t>Roads</t>
  </si>
  <si>
    <t>Technicians</t>
  </si>
  <si>
    <t>Clerks (Clerical and administrative)</t>
  </si>
  <si>
    <t>Service and sales workers</t>
  </si>
  <si>
    <t>Skilled agricultural and fishery workers</t>
  </si>
  <si>
    <t>Craft and related trades</t>
  </si>
  <si>
    <t>Plant and Machine Operators</t>
  </si>
  <si>
    <t>Elementary Occupations</t>
  </si>
  <si>
    <t>Finance personnel headcount</t>
  </si>
  <si>
    <t>Human Resources personnel headcount</t>
  </si>
  <si>
    <t>1. Full Time Equivalent (FTE). E.g. One full time person = 1FTE. A person working half time (say 4 hours out of 8) = 0.5FTE.</t>
  </si>
  <si>
    <t>2. s57 of the Systems Act</t>
  </si>
  <si>
    <t>3. Include only in Consolidated Statements</t>
  </si>
  <si>
    <t>4. Include municipal entity employees in Consolidated Statements</t>
  </si>
  <si>
    <t>5. Include headcount (number fo persons, Not FTE) of managers and staff only (exclude councillors)</t>
  </si>
  <si>
    <t>6. Managers who provide the direction of a critical technical function</t>
  </si>
  <si>
    <t>7. Total number of employees working on these functions</t>
  </si>
  <si>
    <t>Total entity employees headcount</t>
  </si>
  <si>
    <t>Contributions recognised - capital &amp; contributed assets</t>
  </si>
  <si>
    <t>Surplus/(Deficit) after capital transfers &amp; contributions</t>
  </si>
  <si>
    <t>Other benefits and allowances</t>
  </si>
  <si>
    <t xml:space="preserve">Bulk purchases </t>
  </si>
  <si>
    <t>4. Previously described as 'bad or doubtful debts' - amounts shown should reflect the change in the provision for debt impairment</t>
  </si>
  <si>
    <t>5. All materials not part of 'bulk' e.g  road making materials, pipe, cable etc.</t>
  </si>
  <si>
    <t>3. Expenditure includes repairs &amp; maintenance of:</t>
  </si>
  <si>
    <t>1. Municipalities may choose to appropriate for capital expenditure for three years or for one year (if one year appropriation projected expenditure required for yr2 and yr3).</t>
  </si>
  <si>
    <t xml:space="preserve">2. Include capital component of PPP unitary payment. </t>
  </si>
  <si>
    <t>3. Include finance leases and PPP capital funding component of unitary payment</t>
  </si>
  <si>
    <t>4. Total Capital Funding must balance with Total Capital Expenditure</t>
  </si>
  <si>
    <t>1. Include 'Construction-work-in-progress' (disclosed separately in annual financial statements)</t>
  </si>
  <si>
    <t>2. Net assets must balance with Total Community Wealth/Equity</t>
  </si>
  <si>
    <t>2. Cash equivalents includes investments with maturities of 3 months or less</t>
  </si>
  <si>
    <t>1. The end balance of Cash/cash equivalents must reconcile to detail in Table SD6</t>
  </si>
  <si>
    <t>Yes</t>
  </si>
  <si>
    <t>No</t>
  </si>
  <si>
    <t>Type of Entities Range:</t>
  </si>
  <si>
    <t>Parent Municapality</t>
  </si>
  <si>
    <t>Consolidated Information</t>
  </si>
  <si>
    <t>MTREF Range:</t>
  </si>
  <si>
    <t>MTREF Linked:</t>
  </si>
  <si>
    <t>MTREF:</t>
  </si>
  <si>
    <t>Fin Year:</t>
  </si>
  <si>
    <t xml:space="preserve">Supporting Table SD1 </t>
  </si>
  <si>
    <t>Supporting Table SD2</t>
  </si>
  <si>
    <t>Supporting Table SD3</t>
  </si>
  <si>
    <t>Supporting Table SD4</t>
  </si>
  <si>
    <t>Supporting Table SD5</t>
  </si>
  <si>
    <t>Supporting Table SD6</t>
  </si>
  <si>
    <t>Supporting Table SD9</t>
  </si>
  <si>
    <t>Supporting Table SD10</t>
  </si>
  <si>
    <t>Supporting Table SD11</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</si>
  <si>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</si>
  <si>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</si>
  <si>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</si>
  <si>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</si>
  <si>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</si>
  <si>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</si>
  <si>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</si>
  <si>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</si>
  <si>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</si>
  <si>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</si>
  <si>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</si>
  <si>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</si>
  <si>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</si>
  <si>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</si>
  <si>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</si>
  <si>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</si>
  <si>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</si>
  <si>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</si>
  <si>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</si>
  <si>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</si>
  <si>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</si>
  <si>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</si>
  <si>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</si>
  <si>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</si>
  <si>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</si>
  <si>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</si>
  <si>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</si>
  <si>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</si>
  <si>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</si>
  <si>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</si>
  <si>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</si>
  <si>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</si>
  <si>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</si>
  <si>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</si>
  <si>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</si>
  <si>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</si>
  <si>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</si>
  <si>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</si>
  <si>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</si>
  <si>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</si>
  <si>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</si>
  <si>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</si>
  <si>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</si>
  <si>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</si>
  <si>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</si>
  <si>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</si>
  <si>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</si>
  <si>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</si>
  <si>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</si>
  <si>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</si>
  <si>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</si>
  <si>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</si>
  <si>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</si>
  <si>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</si>
  <si>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</si>
  <si>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</si>
  <si>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</si>
  <si>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</si>
  <si>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</si>
  <si>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</si>
  <si>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</si>
  <si>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</si>
  <si>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</si>
  <si>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</si>
  <si>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</si>
  <si>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</si>
  <si>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</si>
  <si>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</si>
  <si>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</si>
  <si>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</si>
  <si>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</si>
  <si>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</si>
  <si>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</si>
  <si>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</si>
  <si>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</si>
  <si>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</si>
  <si>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</si>
  <si>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</si>
  <si>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</si>
  <si>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</si>
  <si>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</si>
  <si>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</si>
  <si>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</si>
  <si>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</si>
  <si>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</si>
  <si>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</si>
  <si>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</si>
  <si>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</si>
  <si>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</si>
  <si>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</si>
  <si>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</si>
  <si>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</si>
  <si>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</si>
  <si>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</si>
  <si>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</si>
  <si>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</si>
  <si>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</si>
  <si>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</si>
  <si>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</si>
  <si>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</si>
  <si>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</si>
  <si>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</si>
  <si>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</si>
  <si>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</si>
  <si>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</si>
  <si>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</si>
  <si>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</si>
  <si>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</si>
  <si>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</si>
  <si>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</si>
  <si>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</si>
  <si>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</si>
  <si>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</si>
  <si>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</si>
  <si>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</si>
  <si>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</si>
  <si>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</si>
  <si>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</si>
  <si>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</si>
  <si>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</si>
  <si>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</si>
  <si>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</si>
  <si>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</si>
  <si>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</si>
  <si>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</si>
  <si>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</si>
  <si>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</si>
  <si>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</si>
  <si>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</si>
  <si>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</si>
  <si>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</si>
  <si>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</si>
  <si>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</si>
  <si>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</si>
  <si>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</si>
  <si>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</si>
  <si>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</si>
  <si>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</si>
  <si>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</si>
  <si>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</si>
  <si>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</si>
  <si>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</si>
  <si>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</si>
  <si>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</si>
  <si>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</si>
  <si>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</si>
  <si>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</si>
  <si>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</si>
  <si>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</si>
  <si>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</si>
  <si>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</si>
  <si>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</si>
  <si>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</si>
  <si>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</si>
  <si>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</si>
  <si>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</si>
  <si>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</si>
  <si>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</si>
  <si>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</si>
  <si>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</si>
  <si>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</si>
  <si>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</si>
  <si>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</si>
  <si>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</si>
  <si>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</si>
  <si>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</si>
  <si>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</si>
  <si>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</si>
  <si>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</si>
  <si>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</si>
  <si>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</si>
  <si>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</si>
  <si>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</si>
  <si>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</si>
  <si>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</si>
  <si>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</si>
  <si>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</si>
  <si>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</si>
  <si>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</si>
  <si>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</si>
  <si>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</si>
  <si>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</si>
  <si>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</si>
  <si>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</si>
  <si>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</si>
  <si>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</si>
  <si>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</si>
  <si>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</si>
  <si>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</si>
  <si>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</si>
  <si>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</si>
  <si>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</si>
  <si>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</si>
  <si>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</si>
  <si>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</si>
  <si>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</si>
  <si>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</si>
  <si>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</si>
  <si>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</si>
  <si>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</si>
  <si>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</si>
  <si>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</si>
  <si>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</si>
  <si>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</si>
  <si>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</si>
  <si>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</si>
  <si>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</si>
  <si>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</si>
  <si>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</si>
  <si>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</si>
  <si>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</si>
  <si>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Borrowing/Capital expenditure excl. transfers and grants and contributions</t>
  </si>
  <si>
    <t>% Volume (Total units purchased + generated less total units sold)/Total units purchased + generated</t>
  </si>
  <si>
    <t>% Volume (Total units purchased + own source less total units sold)/Total units purchased + own source</t>
  </si>
  <si>
    <t>Transfers and Grants</t>
  </si>
  <si>
    <t>Increase (decrease) in consumer deposits</t>
  </si>
  <si>
    <t>Service charges - refuse revenue</t>
  </si>
  <si>
    <t>MEB5a</t>
  </si>
  <si>
    <t>MEB5b</t>
  </si>
  <si>
    <t>MEB9a</t>
  </si>
  <si>
    <t>MEB9b</t>
  </si>
  <si>
    <t>MEB9c</t>
  </si>
  <si>
    <t>MEB12</t>
  </si>
  <si>
    <t>MEB13</t>
  </si>
  <si>
    <t>Supporting Table SD7a</t>
  </si>
  <si>
    <t>Supporting Table SD7b</t>
  </si>
  <si>
    <t>Supporting Table SD7c</t>
  </si>
  <si>
    <t>Supporting Table SD8</t>
  </si>
  <si>
    <t>Total capital expenditure on renewal of existing assets</t>
  </si>
  <si>
    <t>1. Total Capital Expenditure on new assets by asset category must reconcile to total capital expenditure shown in Capital budget lees the amount shown for Total Capital Expenditure on renewal of existing assets</t>
  </si>
  <si>
    <t>Municipal entity employees</t>
  </si>
  <si>
    <t>CEO and Senior Managers</t>
  </si>
  <si>
    <t>Total Personnel Numbers</t>
  </si>
  <si>
    <t>IDP Goal Code  3</t>
  </si>
  <si>
    <t xml:space="preserve">Program/Project description
</t>
  </si>
  <si>
    <r>
      <t xml:space="preserve">Asset Class  
</t>
    </r>
    <r>
      <rPr>
        <sz val="8"/>
        <rFont val="Arial Narrow"/>
        <family val="2"/>
      </rPr>
      <t>2</t>
    </r>
  </si>
  <si>
    <r>
      <t xml:space="preserve"> Asset Sub-Class 
</t>
    </r>
    <r>
      <rPr>
        <sz val="8"/>
        <rFont val="Arial Narrow"/>
        <family val="2"/>
      </rPr>
      <t>2</t>
    </r>
  </si>
  <si>
    <r>
      <t xml:space="preserve">Monetary value of agreement 
</t>
    </r>
    <r>
      <rPr>
        <sz val="8"/>
        <rFont val="Arial Narrow"/>
        <family val="2"/>
      </rPr>
      <t>2</t>
    </r>
  </si>
  <si>
    <r>
      <t xml:space="preserve">Period of agreement 
</t>
    </r>
    <r>
      <rPr>
        <sz val="8"/>
        <rFont val="Arial Narrow"/>
        <family val="2"/>
      </rPr>
      <t>1</t>
    </r>
  </si>
  <si>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</si>
  <si>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</si>
  <si>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</si>
  <si>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</si>
  <si>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</si>
  <si>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</si>
  <si>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</si>
  <si>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</si>
  <si>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</si>
  <si>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</si>
  <si>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</si>
  <si>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</si>
  <si>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BUF Buffalo City</t>
  </si>
  <si>
    <t>NMA Nelson Mandela Bay</t>
  </si>
  <si>
    <t>EC443 Mbizana</t>
  </si>
  <si>
    <t>EC444 Ntabankulu</t>
  </si>
  <si>
    <t>MAN Mangaung</t>
  </si>
  <si>
    <t>FS196 Mantsopa</t>
  </si>
  <si>
    <t>EKU Ekurhuleni Metro</t>
  </si>
  <si>
    <t>JHB City Of Johannesburg</t>
  </si>
  <si>
    <t>TSH City Of Tshwane</t>
  </si>
  <si>
    <t>ETH eThekwini</t>
  </si>
  <si>
    <t>DC43 Harry Gwala</t>
  </si>
  <si>
    <t>DC47 Sekhukhune</t>
  </si>
  <si>
    <t>MP312 Emalahleni (Mp)</t>
  </si>
  <si>
    <t>MP315 Thembisile Hani</t>
  </si>
  <si>
    <t>DC7 Pixley Ka Seme (Nc)</t>
  </si>
  <si>
    <t>CPT Cape Town</t>
  </si>
  <si>
    <t>DC2 Cape Winelands DM</t>
  </si>
  <si>
    <t>Other non-current assets</t>
  </si>
  <si>
    <t>Insert measure/s description</t>
  </si>
  <si>
    <t>Pension and UIF Contributions</t>
  </si>
  <si>
    <t>Payments in lieu of leave</t>
  </si>
  <si>
    <t>Long service awards</t>
  </si>
  <si>
    <t>Post-retirement benefit obligations</t>
  </si>
  <si>
    <t>Basic Salaries and Wages</t>
  </si>
  <si>
    <t>R thousand</t>
  </si>
  <si>
    <t>Capital expenditure on new assets by Asset Class/Sub-class</t>
  </si>
  <si>
    <t>Repairs and maintenance expenditure by Asset Class/Sub-class</t>
  </si>
  <si>
    <t>Capital expenditure on renewal of existing assets by Asset Class/Sub-class</t>
  </si>
  <si>
    <t>Capital expenditure by Asset Class/Sub-class</t>
  </si>
  <si>
    <t>Investment in Associate</t>
  </si>
  <si>
    <t>Agricultural</t>
  </si>
  <si>
    <t>Biological</t>
  </si>
  <si>
    <t>Intangible</t>
  </si>
  <si>
    <t>Total capital expenditure on assets</t>
  </si>
  <si>
    <t>Total expenditure on repairs and maintenance of assets</t>
  </si>
  <si>
    <t>Motor Vehicle Allowance</t>
  </si>
  <si>
    <t>Cellphone Allowance</t>
  </si>
  <si>
    <t>Housing Allowances</t>
  </si>
  <si>
    <t>Total Capital Expenditure</t>
  </si>
  <si>
    <t>DC10 Sarah Baartman</t>
  </si>
  <si>
    <t>EC136 Emalahleni (Ec)</t>
  </si>
  <si>
    <t>GT485 GT485</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</si>
  <si>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</si>
  <si>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</si>
  <si>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</si>
  <si>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</si>
  <si>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</si>
  <si>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</si>
  <si>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</si>
  <si>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</si>
  <si>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</si>
  <si>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</si>
  <si>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</si>
  <si>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</si>
  <si>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</si>
  <si>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</si>
  <si>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</si>
  <si>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</si>
  <si>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</si>
  <si>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</si>
  <si>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</si>
  <si>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</si>
  <si>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</si>
  <si>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</si>
  <si>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</si>
  <si>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</si>
  <si>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</si>
  <si>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</si>
  <si>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</si>
  <si>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</si>
  <si>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</si>
  <si>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</si>
  <si>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</si>
  <si>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</si>
  <si>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</si>
  <si>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</si>
  <si>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</si>
  <si>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</si>
  <si>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</si>
  <si>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</si>
  <si>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</si>
  <si>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</si>
  <si>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</si>
  <si>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</si>
  <si>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</si>
  <si>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</si>
  <si>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</si>
  <si>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</si>
  <si>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</si>
  <si>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</si>
  <si>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</si>
  <si>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</si>
  <si>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</si>
  <si>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</si>
  <si>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</si>
  <si>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</si>
  <si>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</si>
  <si>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</si>
  <si>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</si>
  <si>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</si>
  <si>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</si>
  <si>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</si>
  <si>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</si>
  <si>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</si>
  <si>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</si>
  <si>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</si>
  <si>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</si>
  <si>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</si>
  <si>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</si>
  <si>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</si>
  <si>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</si>
  <si>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</si>
  <si>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</si>
  <si>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</si>
  <si>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</si>
  <si>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</si>
  <si>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</si>
  <si>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</si>
  <si>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</si>
  <si>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</si>
  <si>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</si>
  <si>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</si>
  <si>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</si>
  <si>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</si>
  <si>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</si>
  <si>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</si>
  <si>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Assets</t>
  </si>
  <si>
    <t>Community Facilities</t>
  </si>
  <si>
    <t>Halls</t>
  </si>
  <si>
    <t>Centres</t>
  </si>
  <si>
    <t>Crèches</t>
  </si>
  <si>
    <t>Clinics/Care Centres</t>
  </si>
  <si>
    <t>Fire/Ambulance Stations</t>
  </si>
  <si>
    <t>Testing Stations</t>
  </si>
  <si>
    <t>Museums</t>
  </si>
  <si>
    <t>Galleries</t>
  </si>
  <si>
    <t>Theatres</t>
  </si>
  <si>
    <t>Cemeteries/Crematoria</t>
  </si>
  <si>
    <t>Police</t>
  </si>
  <si>
    <t>Purls</t>
  </si>
  <si>
    <t>Public Open Space</t>
  </si>
  <si>
    <t>Nature Reserves</t>
  </si>
  <si>
    <t>Public Ablution Facilities</t>
  </si>
  <si>
    <t>Stalls</t>
  </si>
  <si>
    <t>Airports</t>
  </si>
  <si>
    <t>Taxi Ranks/Bus Terminals</t>
  </si>
  <si>
    <t>Sport and Recreation Facilities</t>
  </si>
  <si>
    <t>Indoor Facilities</t>
  </si>
  <si>
    <t>Outdoor Facilities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</si>
  <si>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</si>
  <si>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</si>
  <si>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</si>
  <si>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</si>
  <si>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</si>
  <si>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</si>
  <si>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</si>
  <si>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</si>
  <si>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</si>
  <si>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</si>
  <si>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</si>
  <si>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</si>
  <si>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</si>
  <si>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</si>
  <si>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</si>
  <si>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</si>
  <si>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</si>
  <si>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</si>
  <si>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</si>
  <si>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</si>
  <si>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Housing</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</si>
  <si>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</si>
  <si>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</si>
  <si>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</si>
  <si>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</si>
  <si>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</si>
  <si>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</si>
  <si>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</si>
  <si>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</si>
  <si>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</si>
  <si>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</si>
  <si>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</si>
  <si>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</si>
  <si>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</si>
  <si>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</si>
  <si>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</si>
  <si>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</si>
  <si>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</si>
  <si>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 xml:space="preserve">Total Capital Expenditure on new assets </t>
  </si>
  <si>
    <t>Capital expenditure on upgrading of existing assets by Asset Class/Sub-class</t>
  </si>
  <si>
    <t>Total capital expenditure on upgrading of existing assets</t>
  </si>
  <si>
    <t>Depreciation by Asset Class/Sub-class</t>
  </si>
  <si>
    <t>Total Depreciation by Asset Class/Sub-class</t>
  </si>
  <si>
    <t>MEB9d</t>
  </si>
  <si>
    <t>MEB9e</t>
  </si>
  <si>
    <t>Supporting Table SD7d</t>
  </si>
  <si>
    <t>Supporting Table SD7e</t>
  </si>
  <si>
    <t>GREATER TZANEEN ECONOMIC DEVELOPMENT AGENCY</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</si>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</sst>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 #,##0.00_ ;_ * \-#,##0.00_ ;_ * &quot;-&quot;??_ ;_ @_ "/>
    <numFmt numFmtId="164" formatCode="_ * #,##0_ ;_ * \-#,##0_ ;_ * &quot;-&quot;??_ ;_ @_ "/>
    <numFmt numFmtId="165" formatCode="_ * #,##0.0_ ;_ * \-#,##0.0_ ;_ * &quot;-&quot;??_ ;_ @_ "/>
    <numFmt numFmtId="166" formatCode="#,###,;[Red]\(#,###,\)"/>
    <numFmt numFmtId="167" formatCode="0.0%"/>
    <numFmt numFmtId="168" formatCode="#,###,;\(#,###,\)"/>
    <numFmt numFmtId="169" formatCode="#,###,,;\(#,###,,\)"/>
    <numFmt numFmtId="170" formatCode="_ * #,##0.0000_ ;_ * \-#,##0.0000_ ;_ * &quot;-&quot;??_ ;_ @_ "/>
    <numFmt numFmtId="171" formatCode="_(* #,##0,_);_(* \(#,##0,\);_(* &quot;–&quot;?_);_(@_)"/>
    <numFmt numFmtId="172" formatCode="_(* #,##0_);_(* \(#,##0\);_(* &quot;–&quot;?_);_(@_)"/>
    <numFmt numFmtId="173" formatCode="_(* #,##0.0%_);_(* \(#,##0.0%\);_(* &quot;–&quot;?_);_(@_)"/>
  </numFmts>
  <fonts count="42" x14ac:knownFonts="1">
    <font>
      <sz val="10"/>
      <name val="Arial"/>
    </font>
    <font>
      <sz val="10"/>
      <name val="Arial"/>
    </font>
    <font>
      <sz val="8"/>
      <name val="Arial"/>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ont>
    <font>
      <b/>
      <sz val="8"/>
      <color indexed="9"/>
      <name val="Arial"/>
      <family val="2"/>
    </font>
    <font>
      <i/>
      <sz val="8"/>
      <name val="Arial"/>
      <family val="2"/>
    </font>
    <font>
      <b/>
      <sz val="14"/>
      <color indexed="10"/>
      <name val="Arial"/>
      <family val="2"/>
    </font>
    <font>
      <sz val="10"/>
      <name val="Arial Narrow"/>
    </font>
    <font>
      <sz val="8"/>
      <name val="Arial Narrow"/>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ont>
    <font>
      <sz val="8"/>
      <color indexed="8"/>
      <name val="Arial"/>
      <family val="2"/>
    </font>
    <font>
      <sz val="8"/>
      <name val="Arial"/>
      <family val="2"/>
    </font>
    <font>
      <sz val="10"/>
      <name val="Arial"/>
      <family val="2"/>
    </font>
    <font>
      <sz val="10"/>
      <color rgb="FF000000"/>
      <name val="ARIAL"/>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15"/>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s>
  <borders count="8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s>
  <cellStyleXfs count="45">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43" fontId="1"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7" fillId="0" borderId="0"/>
    <xf numFmtId="0" fontId="1"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679">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16"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7" xfId="0" applyFont="1" applyFill="1" applyBorder="1" applyAlignment="1">
      <alignment horizontal="center"/>
    </xf>
    <xf numFmtId="0" fontId="2" fillId="0" borderId="18" xfId="0" applyFont="1" applyBorder="1" applyAlignment="1">
      <alignment horizontal="center"/>
    </xf>
    <xf numFmtId="0" fontId="10" fillId="0" borderId="0" xfId="0" applyFont="1" applyBorder="1" applyAlignment="1">
      <alignment horizontal="left" vertical="top" wrapText="1"/>
    </xf>
    <xf numFmtId="0" fontId="6" fillId="0" borderId="0" xfId="0" applyFont="1"/>
    <xf numFmtId="0" fontId="7" fillId="0" borderId="19" xfId="0" applyFont="1" applyFill="1" applyBorder="1" applyAlignment="1">
      <alignment horizontal="center" vertical="center" wrapText="1"/>
    </xf>
    <xf numFmtId="0" fontId="9" fillId="0" borderId="11" xfId="0" applyFont="1" applyBorder="1"/>
    <xf numFmtId="0" fontId="7" fillId="0" borderId="10" xfId="0" applyFont="1" applyBorder="1" applyAlignment="1">
      <alignment horizontal="center"/>
    </xf>
    <xf numFmtId="0" fontId="6" fillId="0" borderId="11" xfId="0" applyFont="1" applyBorder="1" applyAlignment="1">
      <alignment horizontal="left" indent="1"/>
    </xf>
    <xf numFmtId="0" fontId="6" fillId="0" borderId="11" xfId="0" applyFont="1" applyBorder="1"/>
    <xf numFmtId="171" fontId="6" fillId="0" borderId="0" xfId="0" applyNumberFormat="1" applyFont="1" applyBorder="1"/>
    <xf numFmtId="171" fontId="6" fillId="0" borderId="20" xfId="0" applyNumberFormat="1" applyFont="1" applyBorder="1"/>
    <xf numFmtId="171" fontId="6" fillId="0" borderId="21" xfId="0" applyNumberFormat="1" applyFont="1" applyBorder="1"/>
    <xf numFmtId="171" fontId="7" fillId="0" borderId="0" xfId="0" applyNumberFormat="1" applyFont="1" applyBorder="1"/>
    <xf numFmtId="171" fontId="7" fillId="0" borderId="20" xfId="0" applyNumberFormat="1" applyFont="1" applyBorder="1"/>
    <xf numFmtId="171" fontId="7" fillId="0" borderId="21" xfId="0" applyNumberFormat="1" applyFont="1" applyBorder="1"/>
    <xf numFmtId="0" fontId="7" fillId="0" borderId="22" xfId="0" applyFont="1" applyBorder="1"/>
    <xf numFmtId="171" fontId="7" fillId="0" borderId="23" xfId="0" applyNumberFormat="1" applyFont="1" applyBorder="1"/>
    <xf numFmtId="171" fontId="7" fillId="0" borderId="24" xfId="0" applyNumberFormat="1" applyFont="1" applyBorder="1"/>
    <xf numFmtId="0" fontId="11" fillId="0" borderId="0" xfId="0" applyFont="1" applyBorder="1"/>
    <xf numFmtId="0" fontId="6" fillId="0" borderId="0" xfId="0" applyFont="1" applyBorder="1" applyAlignment="1">
      <alignment horizontal="center"/>
    </xf>
    <xf numFmtId="0" fontId="10" fillId="0" borderId="0" xfId="0" quotePrefix="1" applyFont="1" applyBorder="1"/>
    <xf numFmtId="0" fontId="7" fillId="0" borderId="0" xfId="0" applyFont="1" applyBorder="1"/>
    <xf numFmtId="168" fontId="7" fillId="0" borderId="0" xfId="0" applyNumberFormat="1" applyFont="1" applyBorder="1"/>
    <xf numFmtId="0" fontId="10" fillId="0" borderId="0" xfId="0" applyFont="1" applyBorder="1" applyAlignment="1">
      <alignment horizontal="center"/>
    </xf>
    <xf numFmtId="0" fontId="10" fillId="0" borderId="0" xfId="0" applyFont="1" applyBorder="1" applyAlignment="1">
      <alignment horizontal="right"/>
    </xf>
    <xf numFmtId="0" fontId="6" fillId="0" borderId="0" xfId="0" applyFont="1" applyBorder="1"/>
    <xf numFmtId="0" fontId="6" fillId="0" borderId="0" xfId="0" applyFont="1" applyAlignment="1">
      <alignment horizontal="center"/>
    </xf>
    <xf numFmtId="171" fontId="7" fillId="0" borderId="25" xfId="0" applyNumberFormat="1" applyFont="1" applyBorder="1"/>
    <xf numFmtId="171" fontId="7" fillId="0" borderId="26" xfId="0" applyNumberFormat="1" applyFont="1" applyBorder="1"/>
    <xf numFmtId="168" fontId="8" fillId="0" borderId="0" xfId="0" applyNumberFormat="1" applyFont="1" applyBorder="1"/>
    <xf numFmtId="0" fontId="10" fillId="0" borderId="0" xfId="0" applyFont="1" applyBorder="1"/>
    <xf numFmtId="0" fontId="8" fillId="0" borderId="0" xfId="0" applyFont="1" applyBorder="1"/>
    <xf numFmtId="0" fontId="10" fillId="0" borderId="11" xfId="0" applyFont="1" applyBorder="1" applyAlignment="1">
      <alignment horizontal="right"/>
    </xf>
    <xf numFmtId="164" fontId="10" fillId="0" borderId="0" xfId="28" applyNumberFormat="1" applyFont="1" applyBorder="1" applyAlignment="1">
      <alignment horizontal="right"/>
    </xf>
    <xf numFmtId="171" fontId="7" fillId="0" borderId="27" xfId="0" applyNumberFormat="1" applyFont="1" applyBorder="1"/>
    <xf numFmtId="168" fontId="6" fillId="0" borderId="0" xfId="0" applyNumberFormat="1" applyFont="1" applyBorder="1"/>
    <xf numFmtId="168"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166" fontId="6" fillId="0" borderId="0" xfId="0" applyNumberFormat="1" applyFont="1"/>
    <xf numFmtId="0" fontId="6" fillId="0" borderId="0" xfId="0" applyFont="1" applyBorder="1" applyAlignment="1"/>
    <xf numFmtId="0" fontId="7" fillId="0" borderId="28" xfId="0" applyFont="1" applyBorder="1"/>
    <xf numFmtId="43" fontId="6" fillId="0" borderId="0" xfId="28" applyFont="1" applyBorder="1"/>
    <xf numFmtId="171" fontId="6" fillId="0" borderId="29" xfId="0" applyNumberFormat="1" applyFont="1" applyBorder="1"/>
    <xf numFmtId="171" fontId="6" fillId="0" borderId="30" xfId="0" applyNumberFormat="1" applyFont="1" applyBorder="1"/>
    <xf numFmtId="171" fontId="6" fillId="0" borderId="31" xfId="0" applyNumberFormat="1" applyFont="1" applyBorder="1"/>
    <xf numFmtId="171" fontId="7" fillId="0" borderId="10" xfId="0" applyNumberFormat="1" applyFont="1" applyBorder="1"/>
    <xf numFmtId="171" fontId="7" fillId="0" borderId="31" xfId="0" applyNumberFormat="1" applyFont="1" applyBorder="1"/>
    <xf numFmtId="171" fontId="7" fillId="0" borderId="32" xfId="0" applyNumberFormat="1" applyFont="1" applyBorder="1"/>
    <xf numFmtId="171" fontId="6" fillId="0" borderId="33" xfId="0" applyNumberFormat="1" applyFont="1" applyBorder="1"/>
    <xf numFmtId="171" fontId="6" fillId="0" borderId="34" xfId="0" applyNumberFormat="1" applyFont="1" applyBorder="1"/>
    <xf numFmtId="171" fontId="6" fillId="0" borderId="35" xfId="0" applyNumberFormat="1" applyFont="1" applyBorder="1"/>
    <xf numFmtId="171" fontId="6" fillId="0" borderId="36" xfId="0" applyNumberFormat="1" applyFont="1" applyBorder="1"/>
    <xf numFmtId="0" fontId="10" fillId="0" borderId="0" xfId="0" applyFont="1" applyAlignment="1">
      <alignment horizontal="right"/>
    </xf>
    <xf numFmtId="0" fontId="6" fillId="0" borderId="20" xfId="0" applyFont="1" applyBorder="1" applyAlignment="1">
      <alignment horizontal="center" vertical="top" wrapText="1"/>
    </xf>
    <xf numFmtId="164" fontId="6" fillId="0" borderId="0" xfId="28" applyNumberFormat="1" applyFont="1" applyBorder="1"/>
    <xf numFmtId="0" fontId="12" fillId="0" borderId="0" xfId="0" applyFont="1" applyBorder="1"/>
    <xf numFmtId="0" fontId="6" fillId="0" borderId="11" xfId="0" applyFont="1" applyBorder="1" applyAlignment="1">
      <alignment horizontal="center" vertical="top" wrapText="1"/>
    </xf>
    <xf numFmtId="0" fontId="6" fillId="0" borderId="11" xfId="0" applyFont="1" applyBorder="1" applyAlignment="1">
      <alignment horizontal="left" vertical="top" wrapText="1"/>
    </xf>
    <xf numFmtId="167" fontId="6" fillId="0" borderId="21" xfId="41" applyNumberFormat="1" applyFont="1" applyFill="1" applyBorder="1" applyAlignment="1">
      <alignment horizontal="center" vertical="top" wrapText="1"/>
    </xf>
    <xf numFmtId="167" fontId="6" fillId="0" borderId="20" xfId="41"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6" fillId="0" borderId="21" xfId="0" applyFont="1" applyFill="1" applyBorder="1" applyAlignment="1">
      <alignment horizontal="center" vertical="top" wrapText="1"/>
    </xf>
    <xf numFmtId="0" fontId="6" fillId="0" borderId="20" xfId="0" applyFont="1" applyFill="1" applyBorder="1" applyAlignment="1">
      <alignment horizontal="center" vertical="top" wrapText="1"/>
    </xf>
    <xf numFmtId="167" fontId="6" fillId="0" borderId="21" xfId="0" applyNumberFormat="1" applyFont="1" applyFill="1" applyBorder="1" applyAlignment="1">
      <alignment horizontal="center" vertical="top" wrapText="1"/>
    </xf>
    <xf numFmtId="167" fontId="6" fillId="0" borderId="20" xfId="0" applyNumberFormat="1" applyFont="1" applyFill="1" applyBorder="1" applyAlignment="1">
      <alignment horizontal="center" vertical="top" wrapText="1"/>
    </xf>
    <xf numFmtId="9" fontId="6" fillId="0" borderId="21" xfId="0" applyNumberFormat="1" applyFont="1" applyFill="1" applyBorder="1" applyAlignment="1">
      <alignment horizontal="center" vertical="top" wrapText="1"/>
    </xf>
    <xf numFmtId="9" fontId="6" fillId="0" borderId="20" xfId="0" applyNumberFormat="1" applyFont="1" applyFill="1" applyBorder="1" applyAlignment="1">
      <alignment horizontal="center" vertical="top" wrapText="1"/>
    </xf>
    <xf numFmtId="0" fontId="6" fillId="0" borderId="0" xfId="0" applyFont="1" applyBorder="1" applyAlignment="1">
      <alignment horizontal="left" vertical="top" wrapText="1"/>
    </xf>
    <xf numFmtId="165" fontId="6" fillId="0" borderId="21" xfId="28" applyNumberFormat="1" applyFont="1" applyFill="1" applyBorder="1" applyAlignment="1">
      <alignment vertical="top" wrapText="1"/>
    </xf>
    <xf numFmtId="165" fontId="6" fillId="0" borderId="20" xfId="28" applyNumberFormat="1" applyFont="1" applyFill="1" applyBorder="1" applyAlignment="1">
      <alignment vertical="top" wrapText="1"/>
    </xf>
    <xf numFmtId="165" fontId="6" fillId="0" borderId="0" xfId="28" applyNumberFormat="1" applyFont="1" applyFill="1" applyBorder="1" applyAlignment="1">
      <alignment vertical="top" wrapText="1"/>
    </xf>
    <xf numFmtId="9" fontId="6" fillId="0" borderId="20" xfId="41" applyNumberFormat="1" applyFont="1" applyBorder="1" applyAlignment="1">
      <alignment horizontal="center" vertical="top" wrapText="1"/>
    </xf>
    <xf numFmtId="2" fontId="6" fillId="0" borderId="20" xfId="28" applyNumberFormat="1" applyFont="1" applyBorder="1" applyAlignment="1">
      <alignment horizontal="center" vertical="top" wrapText="1"/>
    </xf>
    <xf numFmtId="167" fontId="6" fillId="0" borderId="20" xfId="0" applyNumberFormat="1" applyFont="1" applyBorder="1" applyAlignment="1">
      <alignment horizontal="center" vertical="top" wrapText="1"/>
    </xf>
    <xf numFmtId="0" fontId="6" fillId="0" borderId="15" xfId="0" applyFont="1" applyBorder="1" applyAlignment="1">
      <alignment horizontal="left" vertical="top" wrapText="1"/>
    </xf>
    <xf numFmtId="165" fontId="6" fillId="0" borderId="35" xfId="28" applyNumberFormat="1" applyFont="1" applyBorder="1" applyAlignment="1">
      <alignment vertical="top" wrapText="1"/>
    </xf>
    <xf numFmtId="165" fontId="6" fillId="0" borderId="35" xfId="28" applyNumberFormat="1" applyFont="1" applyFill="1" applyBorder="1" applyAlignment="1">
      <alignment vertical="top" wrapText="1"/>
    </xf>
    <xf numFmtId="171" fontId="6" fillId="0" borderId="10" xfId="0" applyNumberFormat="1" applyFont="1" applyBorder="1"/>
    <xf numFmtId="0" fontId="7" fillId="0" borderId="37" xfId="0" applyFont="1" applyFill="1" applyBorder="1" applyAlignment="1">
      <alignment horizontal="centerContinuous" vertical="center" wrapText="1"/>
    </xf>
    <xf numFmtId="0" fontId="7" fillId="0" borderId="38" xfId="0" applyFont="1" applyFill="1" applyBorder="1" applyAlignment="1">
      <alignment horizontal="centerContinuous" vertical="center" wrapText="1"/>
    </xf>
    <xf numFmtId="0" fontId="7" fillId="0" borderId="39" xfId="0" applyFont="1" applyFill="1" applyBorder="1" applyAlignment="1">
      <alignment horizontal="centerContinuous" vertical="center" wrapText="1"/>
    </xf>
    <xf numFmtId="0" fontId="7" fillId="0" borderId="29" xfId="0" applyFont="1" applyFill="1" applyBorder="1" applyAlignment="1">
      <alignment horizontal="center" vertical="center" wrapText="1"/>
    </xf>
    <xf numFmtId="0" fontId="7" fillId="0" borderId="40" xfId="0" applyFont="1" applyFill="1" applyBorder="1" applyAlignment="1">
      <alignment horizontal="center" vertical="center" wrapText="1"/>
    </xf>
    <xf numFmtId="43" fontId="6" fillId="0" borderId="0" xfId="28" applyFont="1"/>
    <xf numFmtId="171" fontId="6" fillId="0" borderId="41" xfId="0" applyNumberFormat="1" applyFont="1" applyBorder="1"/>
    <xf numFmtId="171" fontId="6" fillId="0" borderId="42" xfId="0" applyNumberFormat="1" applyFont="1" applyBorder="1"/>
    <xf numFmtId="171" fontId="7" fillId="0" borderId="43" xfId="0" applyNumberFormat="1" applyFont="1" applyBorder="1"/>
    <xf numFmtId="164" fontId="10" fillId="0" borderId="0" xfId="28" applyNumberFormat="1" applyFont="1"/>
    <xf numFmtId="0" fontId="7" fillId="0" borderId="44" xfId="0" applyFont="1" applyFill="1" applyBorder="1" applyAlignment="1">
      <alignment horizontal="center" vertical="center" wrapText="1"/>
    </xf>
    <xf numFmtId="169" fontId="6" fillId="0" borderId="0" xfId="0" applyNumberFormat="1" applyFont="1"/>
    <xf numFmtId="171" fontId="6" fillId="0" borderId="25" xfId="0" applyNumberFormat="1" applyFont="1" applyBorder="1"/>
    <xf numFmtId="171" fontId="6" fillId="0" borderId="45" xfId="0" applyNumberFormat="1" applyFont="1" applyBorder="1"/>
    <xf numFmtId="0" fontId="5" fillId="0" borderId="0" xfId="0" applyFont="1" applyFill="1" applyBorder="1" applyAlignment="1">
      <alignment horizontal="left"/>
    </xf>
    <xf numFmtId="0" fontId="7" fillId="0" borderId="46" xfId="0" applyFont="1" applyFill="1" applyBorder="1" applyAlignment="1">
      <alignment horizontal="center" vertical="center" wrapText="1"/>
    </xf>
    <xf numFmtId="0" fontId="6" fillId="0" borderId="10" xfId="0" applyFont="1" applyBorder="1" applyAlignment="1">
      <alignment horizontal="center"/>
    </xf>
    <xf numFmtId="0" fontId="6" fillId="0" borderId="10" xfId="0" applyFont="1" applyFill="1" applyBorder="1" applyAlignment="1">
      <alignment horizontal="center"/>
    </xf>
    <xf numFmtId="0" fontId="6" fillId="0" borderId="0" xfId="0" quotePrefix="1" applyFont="1"/>
    <xf numFmtId="0" fontId="6" fillId="0" borderId="10" xfId="0" applyFont="1" applyBorder="1" applyAlignment="1">
      <alignment horizontal="left" vertical="top" wrapText="1"/>
    </xf>
    <xf numFmtId="0" fontId="9" fillId="0" borderId="10" xfId="0" applyFont="1" applyBorder="1" applyAlignment="1">
      <alignment horizontal="left" wrapText="1"/>
    </xf>
    <xf numFmtId="0" fontId="12" fillId="0" borderId="10" xfId="0" applyFont="1" applyBorder="1" applyAlignment="1">
      <alignment horizontal="center"/>
    </xf>
    <xf numFmtId="0" fontId="6" fillId="0" borderId="0" xfId="0" quotePrefix="1" applyFont="1" applyBorder="1" applyAlignment="1">
      <alignment horizontal="left" wrapText="1"/>
    </xf>
    <xf numFmtId="0" fontId="6" fillId="0" borderId="47" xfId="0" applyFont="1" applyBorder="1" applyAlignment="1">
      <alignment horizontal="left" vertical="top" wrapText="1"/>
    </xf>
    <xf numFmtId="170" fontId="6" fillId="0" borderId="0" xfId="28" applyNumberFormat="1" applyFont="1" applyBorder="1"/>
    <xf numFmtId="171" fontId="6" fillId="0" borderId="48" xfId="0" applyNumberFormat="1" applyFont="1" applyBorder="1"/>
    <xf numFmtId="171" fontId="7" fillId="0" borderId="42" xfId="0" applyNumberFormat="1" applyFont="1" applyBorder="1"/>
    <xf numFmtId="171" fontId="6" fillId="0" borderId="49" xfId="0" applyNumberFormat="1" applyFont="1" applyBorder="1"/>
    <xf numFmtId="0" fontId="7" fillId="0" borderId="30" xfId="0"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19" xfId="0" applyFont="1" applyFill="1" applyBorder="1" applyAlignment="1">
      <alignment horizontal="centerContinuous" vertical="center" wrapText="1"/>
    </xf>
    <xf numFmtId="0" fontId="7" fillId="0" borderId="40"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6" fillId="0" borderId="50" xfId="0" applyFont="1" applyBorder="1" applyAlignment="1">
      <alignment horizontal="center"/>
    </xf>
    <xf numFmtId="171" fontId="7" fillId="0" borderId="51" xfId="0" applyNumberFormat="1" applyFont="1" applyBorder="1"/>
    <xf numFmtId="0" fontId="6" fillId="0" borderId="32" xfId="0" applyFont="1" applyBorder="1" applyAlignment="1">
      <alignment horizontal="center"/>
    </xf>
    <xf numFmtId="0" fontId="7" fillId="0" borderId="21" xfId="0" applyFont="1" applyBorder="1" applyAlignment="1">
      <alignment horizontal="center"/>
    </xf>
    <xf numFmtId="0" fontId="7" fillId="0" borderId="20" xfId="0" applyFont="1" applyBorder="1" applyAlignment="1">
      <alignment horizontal="center"/>
    </xf>
    <xf numFmtId="0" fontId="7" fillId="0" borderId="42" xfId="0" applyFont="1" applyBorder="1" applyAlignment="1">
      <alignment horizontal="center"/>
    </xf>
    <xf numFmtId="171" fontId="7" fillId="0" borderId="50" xfId="0" applyNumberFormat="1" applyFont="1" applyBorder="1"/>
    <xf numFmtId="0" fontId="7" fillId="0" borderId="52" xfId="0" applyFont="1" applyFill="1" applyBorder="1" applyAlignment="1">
      <alignment horizontal="centerContinuous" vertical="center" wrapText="1"/>
    </xf>
    <xf numFmtId="0" fontId="6" fillId="0" borderId="53" xfId="0" applyFont="1" applyBorder="1" applyAlignment="1">
      <alignment horizontal="center"/>
    </xf>
    <xf numFmtId="0" fontId="6" fillId="0" borderId="10" xfId="0" applyFont="1" applyBorder="1" applyAlignment="1">
      <alignment horizontal="center" vertical="top"/>
    </xf>
    <xf numFmtId="171" fontId="7" fillId="0" borderId="54" xfId="0" applyNumberFormat="1" applyFont="1" applyBorder="1"/>
    <xf numFmtId="171" fontId="7" fillId="0" borderId="55" xfId="0" applyNumberFormat="1" applyFont="1" applyBorder="1"/>
    <xf numFmtId="171" fontId="6" fillId="0" borderId="43" xfId="0" applyNumberFormat="1" applyFont="1" applyBorder="1"/>
    <xf numFmtId="167" fontId="6" fillId="0" borderId="42" xfId="41" applyNumberFormat="1" applyFont="1" applyFill="1" applyBorder="1" applyAlignment="1">
      <alignment horizontal="center" vertical="top" wrapText="1"/>
    </xf>
    <xf numFmtId="0" fontId="6" fillId="0" borderId="15" xfId="0" applyFont="1" applyBorder="1" applyAlignment="1">
      <alignment horizontal="left" vertical="top" wrapText="1" indent="1"/>
    </xf>
    <xf numFmtId="171" fontId="6" fillId="0" borderId="24" xfId="0" applyNumberFormat="1" applyFont="1" applyBorder="1"/>
    <xf numFmtId="171" fontId="6" fillId="0" borderId="23" xfId="0" applyNumberFormat="1" applyFont="1" applyBorder="1"/>
    <xf numFmtId="171" fontId="6" fillId="0" borderId="51" xfId="0" applyNumberFormat="1" applyFont="1" applyBorder="1"/>
    <xf numFmtId="171" fontId="7" fillId="0" borderId="56" xfId="0" applyNumberFormat="1" applyFont="1" applyBorder="1"/>
    <xf numFmtId="0" fontId="7" fillId="0" borderId="57" xfId="0" applyFont="1" applyFill="1" applyBorder="1" applyAlignment="1">
      <alignment horizontal="left"/>
    </xf>
    <xf numFmtId="171" fontId="6" fillId="0" borderId="26" xfId="0" applyNumberFormat="1" applyFont="1" applyBorder="1"/>
    <xf numFmtId="9" fontId="7" fillId="0" borderId="46" xfId="41" applyFont="1" applyFill="1" applyBorder="1" applyAlignment="1">
      <alignment horizontal="center" vertical="center" wrapText="1"/>
    </xf>
    <xf numFmtId="167" fontId="7" fillId="0" borderId="42" xfId="41" applyNumberFormat="1" applyFont="1" applyFill="1" applyBorder="1" applyAlignment="1">
      <alignment vertical="top" wrapText="1"/>
    </xf>
    <xf numFmtId="0" fontId="7" fillId="0" borderId="58" xfId="0" applyFont="1" applyFill="1" applyBorder="1" applyAlignment="1">
      <alignment horizontal="center" vertical="center" wrapText="1"/>
    </xf>
    <xf numFmtId="0" fontId="7" fillId="0" borderId="59" xfId="0" applyFont="1" applyFill="1" applyBorder="1" applyAlignment="1">
      <alignment horizontal="center" vertical="top" wrapText="1"/>
    </xf>
    <xf numFmtId="0" fontId="7" fillId="0" borderId="60" xfId="0" applyFont="1" applyFill="1" applyBorder="1" applyAlignment="1">
      <alignment horizontal="center" vertical="top" wrapText="1"/>
    </xf>
    <xf numFmtId="0" fontId="7" fillId="0" borderId="58" xfId="0" applyFont="1" applyFill="1" applyBorder="1" applyAlignment="1">
      <alignment horizontal="center" vertical="top" wrapText="1"/>
    </xf>
    <xf numFmtId="0" fontId="7" fillId="0" borderId="53" xfId="0" applyFont="1" applyFill="1" applyBorder="1" applyAlignment="1">
      <alignment horizontal="left"/>
    </xf>
    <xf numFmtId="9" fontId="7" fillId="0" borderId="61" xfId="41" applyFont="1" applyFill="1" applyBorder="1" applyAlignment="1">
      <alignment horizontal="center" vertical="center" wrapText="1"/>
    </xf>
    <xf numFmtId="0" fontId="7" fillId="0" borderId="62" xfId="0" applyFont="1" applyFill="1" applyBorder="1" applyAlignment="1">
      <alignment horizontal="center" vertical="top" wrapText="1"/>
    </xf>
    <xf numFmtId="9" fontId="7" fillId="0" borderId="58" xfId="41" applyFont="1" applyFill="1" applyBorder="1" applyAlignment="1">
      <alignment horizontal="center" vertical="center" wrapText="1"/>
    </xf>
    <xf numFmtId="165" fontId="6" fillId="0" borderId="0" xfId="28" applyNumberFormat="1" applyFont="1" applyBorder="1" applyAlignment="1">
      <alignment vertical="top" wrapText="1"/>
    </xf>
    <xf numFmtId="0" fontId="6" fillId="0" borderId="53" xfId="0" applyFont="1" applyFill="1" applyBorder="1" applyAlignment="1">
      <alignment horizontal="center"/>
    </xf>
    <xf numFmtId="0" fontId="11" fillId="0" borderId="0" xfId="0" applyFont="1" applyBorder="1" applyAlignment="1">
      <alignment horizontal="left" vertical="top" wrapText="1"/>
    </xf>
    <xf numFmtId="0" fontId="6" fillId="0" borderId="21" xfId="0" applyFont="1" applyBorder="1" applyAlignment="1">
      <alignment horizontal="center" vertical="top" wrapText="1"/>
    </xf>
    <xf numFmtId="0" fontId="6" fillId="0" borderId="42" xfId="0" applyFont="1" applyBorder="1" applyAlignment="1">
      <alignment horizontal="center" vertical="top" wrapText="1"/>
    </xf>
    <xf numFmtId="9" fontId="6" fillId="0" borderId="21" xfId="41" applyNumberFormat="1" applyFont="1" applyBorder="1" applyAlignment="1">
      <alignment horizontal="center" vertical="top" wrapText="1"/>
    </xf>
    <xf numFmtId="9" fontId="6" fillId="0" borderId="42" xfId="41" applyNumberFormat="1" applyFont="1" applyBorder="1" applyAlignment="1">
      <alignment horizontal="center" vertical="top" wrapText="1"/>
    </xf>
    <xf numFmtId="2" fontId="6" fillId="0" borderId="21" xfId="28" applyNumberFormat="1" applyFont="1" applyBorder="1" applyAlignment="1">
      <alignment horizontal="center" vertical="top" wrapText="1"/>
    </xf>
    <xf numFmtId="2" fontId="6" fillId="0" borderId="42" xfId="28" applyNumberFormat="1" applyFont="1" applyBorder="1" applyAlignment="1">
      <alignment horizontal="center" vertical="top" wrapText="1"/>
    </xf>
    <xf numFmtId="9" fontId="6" fillId="0" borderId="21" xfId="0" applyNumberFormat="1" applyFont="1" applyBorder="1" applyAlignment="1">
      <alignment horizontal="center" vertical="top" wrapText="1"/>
    </xf>
    <xf numFmtId="9" fontId="6" fillId="0" borderId="20" xfId="0" applyNumberFormat="1" applyFont="1" applyBorder="1" applyAlignment="1">
      <alignment horizontal="center" vertical="top" wrapText="1"/>
    </xf>
    <xf numFmtId="9" fontId="6" fillId="0" borderId="42" xfId="0" applyNumberFormat="1" applyFont="1" applyBorder="1" applyAlignment="1">
      <alignment horizontal="center" vertical="top" wrapText="1"/>
    </xf>
    <xf numFmtId="167" fontId="6" fillId="0" borderId="42" xfId="0" applyNumberFormat="1" applyFont="1" applyBorder="1" applyAlignment="1">
      <alignment horizontal="center" vertical="top" wrapText="1"/>
    </xf>
    <xf numFmtId="167" fontId="6" fillId="0" borderId="21" xfId="0" applyNumberFormat="1" applyFont="1" applyBorder="1" applyAlignment="1">
      <alignment horizontal="center" vertical="top" wrapText="1"/>
    </xf>
    <xf numFmtId="165" fontId="6" fillId="0" borderId="21" xfId="28" applyNumberFormat="1" applyFont="1" applyBorder="1" applyAlignment="1">
      <alignment vertical="top" wrapText="1"/>
    </xf>
    <xf numFmtId="165" fontId="6" fillId="0" borderId="20" xfId="28" applyNumberFormat="1" applyFont="1" applyBorder="1" applyAlignment="1">
      <alignment vertical="top" wrapText="1"/>
    </xf>
    <xf numFmtId="165" fontId="6" fillId="0" borderId="42" xfId="28" applyNumberFormat="1" applyFont="1" applyBorder="1" applyAlignment="1">
      <alignment vertical="top" wrapText="1"/>
    </xf>
    <xf numFmtId="165" fontId="6" fillId="0" borderId="48" xfId="28" applyNumberFormat="1" applyFont="1" applyBorder="1" applyAlignment="1">
      <alignment vertical="top" wrapText="1"/>
    </xf>
    <xf numFmtId="9" fontId="6" fillId="0" borderId="20" xfId="41" applyFont="1" applyFill="1" applyBorder="1" applyAlignment="1">
      <alignment horizontal="center" vertical="top" wrapText="1"/>
    </xf>
    <xf numFmtId="9" fontId="6" fillId="0" borderId="42" xfId="41" applyFont="1" applyFill="1" applyBorder="1" applyAlignment="1">
      <alignment horizontal="center" vertical="top" wrapText="1"/>
    </xf>
    <xf numFmtId="165" fontId="6" fillId="0" borderId="42" xfId="28" applyNumberFormat="1" applyFont="1" applyFill="1" applyBorder="1" applyAlignment="1">
      <alignment vertical="top" wrapText="1"/>
    </xf>
    <xf numFmtId="165" fontId="6" fillId="0" borderId="36" xfId="28" applyNumberFormat="1" applyFont="1" applyFill="1" applyBorder="1" applyAlignment="1">
      <alignment vertical="top" wrapText="1"/>
    </xf>
    <xf numFmtId="165" fontId="6" fillId="0" borderId="48" xfId="28" applyNumberFormat="1" applyFont="1" applyFill="1" applyBorder="1" applyAlignment="1">
      <alignment vertical="top" wrapText="1"/>
    </xf>
    <xf numFmtId="9" fontId="6" fillId="0" borderId="21" xfId="41" applyNumberFormat="1" applyFont="1" applyFill="1" applyBorder="1" applyAlignment="1">
      <alignment horizontal="center" vertical="top" wrapText="1"/>
    </xf>
    <xf numFmtId="9" fontId="6" fillId="0" borderId="20" xfId="41" applyNumberFormat="1" applyFont="1" applyFill="1" applyBorder="1" applyAlignment="1">
      <alignment horizontal="center" vertical="top" wrapText="1"/>
    </xf>
    <xf numFmtId="9" fontId="6" fillId="0" borderId="42" xfId="41" applyNumberFormat="1" applyFont="1" applyFill="1" applyBorder="1" applyAlignment="1">
      <alignment horizontal="center" vertical="top" wrapText="1"/>
    </xf>
    <xf numFmtId="0" fontId="6" fillId="0" borderId="42" xfId="0" applyFont="1" applyFill="1" applyBorder="1" applyAlignment="1">
      <alignment horizontal="center" vertical="top" wrapText="1"/>
    </xf>
    <xf numFmtId="2" fontId="6" fillId="0" borderId="21" xfId="28" applyNumberFormat="1" applyFont="1" applyFill="1" applyBorder="1" applyAlignment="1">
      <alignment horizontal="center" vertical="top" wrapText="1"/>
    </xf>
    <xf numFmtId="2" fontId="6" fillId="0" borderId="20" xfId="28" applyNumberFormat="1" applyFont="1" applyFill="1" applyBorder="1" applyAlignment="1">
      <alignment horizontal="center" vertical="top" wrapText="1"/>
    </xf>
    <xf numFmtId="2" fontId="6" fillId="0" borderId="42" xfId="28" applyNumberFormat="1" applyFont="1" applyFill="1" applyBorder="1" applyAlignment="1">
      <alignment horizontal="center" vertical="top" wrapText="1"/>
    </xf>
    <xf numFmtId="9" fontId="6" fillId="0" borderId="42" xfId="0" applyNumberFormat="1" applyFont="1" applyFill="1" applyBorder="1" applyAlignment="1">
      <alignment horizontal="center" vertical="top" wrapText="1"/>
    </xf>
    <xf numFmtId="0" fontId="7" fillId="0" borderId="62" xfId="0" applyFont="1" applyFill="1" applyBorder="1" applyAlignment="1">
      <alignment horizontal="center" vertical="center" wrapText="1"/>
    </xf>
    <xf numFmtId="9" fontId="7" fillId="0" borderId="63" xfId="41" applyFont="1" applyFill="1" applyBorder="1" applyAlignment="1">
      <alignment horizontal="center" vertical="center" wrapText="1"/>
    </xf>
    <xf numFmtId="9" fontId="7" fillId="0" borderId="26" xfId="41" applyFont="1" applyFill="1" applyBorder="1" applyAlignment="1">
      <alignment horizontal="centerContinuous" vertical="center" wrapText="1"/>
    </xf>
    <xf numFmtId="9" fontId="7" fillId="0" borderId="43" xfId="41" applyFont="1" applyFill="1" applyBorder="1" applyAlignment="1">
      <alignment horizontal="centerContinuous" vertical="center" wrapText="1"/>
    </xf>
    <xf numFmtId="0" fontId="7" fillId="0" borderId="28" xfId="0" applyFont="1" applyFill="1" applyBorder="1" applyAlignment="1">
      <alignment horizontal="center" vertical="center" wrapText="1"/>
    </xf>
    <xf numFmtId="171" fontId="6" fillId="0" borderId="58" xfId="0" applyNumberFormat="1" applyFont="1" applyBorder="1" applyAlignment="1">
      <alignment horizontal="center"/>
    </xf>
    <xf numFmtId="171" fontId="6" fillId="0" borderId="59" xfId="0" applyNumberFormat="1" applyFont="1" applyBorder="1" applyAlignment="1">
      <alignment horizontal="center"/>
    </xf>
    <xf numFmtId="171" fontId="6" fillId="0" borderId="63" xfId="0" applyNumberFormat="1" applyFont="1" applyBorder="1" applyAlignment="1">
      <alignment horizontal="center"/>
    </xf>
    <xf numFmtId="0" fontId="7" fillId="0" borderId="64" xfId="0" applyFont="1" applyFill="1" applyBorder="1" applyAlignment="1">
      <alignment horizontal="centerContinuous" vertical="center" wrapText="1"/>
    </xf>
    <xf numFmtId="171" fontId="6" fillId="0" borderId="56" xfId="0" applyNumberFormat="1" applyFont="1" applyBorder="1"/>
    <xf numFmtId="171" fontId="6" fillId="0" borderId="27" xfId="0" applyNumberFormat="1" applyFont="1" applyBorder="1"/>
    <xf numFmtId="171" fontId="6" fillId="0" borderId="65" xfId="0" applyNumberFormat="1" applyFont="1" applyBorder="1"/>
    <xf numFmtId="0" fontId="11" fillId="0" borderId="0" xfId="0" applyFont="1" applyBorder="1" applyAlignment="1"/>
    <xf numFmtId="0" fontId="10" fillId="0" borderId="0" xfId="0" applyFont="1" applyBorder="1" applyAlignment="1"/>
    <xf numFmtId="0" fontId="7" fillId="0" borderId="57" xfId="0" applyFont="1" applyFill="1" applyBorder="1" applyAlignment="1">
      <alignment horizontal="left" wrapText="1"/>
    </xf>
    <xf numFmtId="0" fontId="6" fillId="0" borderId="53" xfId="0" applyFont="1" applyBorder="1" applyAlignment="1">
      <alignment horizontal="center" wrapText="1"/>
    </xf>
    <xf numFmtId="0" fontId="10" fillId="0" borderId="42" xfId="0" applyFont="1" applyFill="1" applyBorder="1" applyAlignment="1">
      <alignment horizontal="center"/>
    </xf>
    <xf numFmtId="9" fontId="7" fillId="0" borderId="20" xfId="41" applyFont="1" applyFill="1" applyBorder="1" applyAlignment="1">
      <alignment horizontal="center" vertical="top" wrapText="1"/>
    </xf>
    <xf numFmtId="9" fontId="7" fillId="0" borderId="19" xfId="41" applyFont="1" applyFill="1" applyBorder="1" applyAlignment="1">
      <alignment horizontal="center" vertical="top" wrapText="1"/>
    </xf>
    <xf numFmtId="9" fontId="7" fillId="0" borderId="33" xfId="41" applyFont="1" applyFill="1" applyBorder="1" applyAlignment="1">
      <alignment horizontal="center" vertical="top" wrapText="1"/>
    </xf>
    <xf numFmtId="9" fontId="7" fillId="0" borderId="59" xfId="41" applyFont="1" applyFill="1" applyBorder="1" applyAlignment="1">
      <alignment horizontal="center" vertical="top" wrapText="1"/>
    </xf>
    <xf numFmtId="0" fontId="7" fillId="0" borderId="21" xfId="0" applyFont="1" applyFill="1" applyBorder="1" applyAlignment="1">
      <alignment horizontal="center"/>
    </xf>
    <xf numFmtId="0" fontId="7" fillId="0" borderId="20" xfId="28" applyNumberFormat="1" applyFont="1" applyFill="1" applyBorder="1" applyAlignment="1">
      <alignment horizontal="center"/>
    </xf>
    <xf numFmtId="0" fontId="10" fillId="0" borderId="20" xfId="0" applyFont="1" applyFill="1" applyBorder="1" applyAlignment="1">
      <alignment horizontal="center"/>
    </xf>
    <xf numFmtId="0" fontId="2" fillId="0" borderId="66" xfId="0" applyFont="1" applyFill="1" applyBorder="1" applyAlignment="1">
      <alignment horizontal="center"/>
    </xf>
    <xf numFmtId="0" fontId="2" fillId="0" borderId="67" xfId="0" applyFont="1" applyFill="1" applyBorder="1"/>
    <xf numFmtId="0" fontId="3" fillId="0" borderId="0" xfId="0" applyFont="1"/>
    <xf numFmtId="0" fontId="2" fillId="0" borderId="66" xfId="0" applyFont="1" applyBorder="1" applyAlignment="1">
      <alignment horizontal="center"/>
    </xf>
    <xf numFmtId="0" fontId="2" fillId="0" borderId="13" xfId="0" applyFont="1" applyFill="1" applyBorder="1"/>
    <xf numFmtId="171" fontId="7" fillId="0" borderId="30" xfId="0" applyNumberFormat="1" applyFont="1" applyBorder="1"/>
    <xf numFmtId="171" fontId="7" fillId="0" borderId="29" xfId="0" applyNumberFormat="1" applyFont="1" applyBorder="1"/>
    <xf numFmtId="171" fontId="7" fillId="0" borderId="49" xfId="0" applyNumberFormat="1" applyFont="1" applyBorder="1"/>
    <xf numFmtId="171" fontId="7" fillId="0" borderId="36" xfId="0" applyNumberFormat="1" applyFont="1" applyBorder="1"/>
    <xf numFmtId="171" fontId="7" fillId="0" borderId="35" xfId="0" applyNumberFormat="1" applyFont="1" applyBorder="1"/>
    <xf numFmtId="171" fontId="7" fillId="0" borderId="48" xfId="0" applyNumberFormat="1" applyFont="1" applyBorder="1"/>
    <xf numFmtId="168" fontId="10" fillId="0" borderId="0" xfId="0" applyNumberFormat="1" applyFont="1"/>
    <xf numFmtId="171" fontId="6" fillId="0" borderId="50" xfId="0" applyNumberFormat="1" applyFont="1" applyBorder="1"/>
    <xf numFmtId="171" fontId="6" fillId="0" borderId="32" xfId="0" applyNumberFormat="1" applyFont="1" applyBorder="1"/>
    <xf numFmtId="9" fontId="6" fillId="0" borderId="36" xfId="41" applyFont="1" applyBorder="1" applyAlignment="1">
      <alignment horizontal="center" vertical="top" wrapText="1"/>
    </xf>
    <xf numFmtId="0" fontId="5" fillId="0" borderId="0" xfId="0" applyFont="1" applyFill="1" applyBorder="1" applyAlignment="1" applyProtection="1">
      <alignment horizontal="left"/>
    </xf>
    <xf numFmtId="0" fontId="6" fillId="0" borderId="0" xfId="0" applyFont="1" applyAlignment="1" applyProtection="1">
      <alignment horizontal="center"/>
    </xf>
    <xf numFmtId="0" fontId="6" fillId="0" borderId="0" xfId="0" applyFont="1" applyProtection="1"/>
    <xf numFmtId="0" fontId="7" fillId="0" borderId="19"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7" fillId="0" borderId="44" xfId="0" applyFont="1" applyFill="1" applyBorder="1" applyAlignment="1" applyProtection="1">
      <alignment horizontal="centerContinuous" vertical="center" wrapText="1"/>
    </xf>
    <xf numFmtId="0" fontId="7" fillId="0" borderId="19" xfId="0" applyFont="1" applyFill="1" applyBorder="1" applyAlignment="1" applyProtection="1">
      <alignment horizontal="centerContinuous" vertical="center" wrapText="1"/>
    </xf>
    <xf numFmtId="0" fontId="7" fillId="0" borderId="40" xfId="0" applyFont="1" applyFill="1" applyBorder="1" applyAlignment="1" applyProtection="1">
      <alignment horizontal="centerContinuous" vertical="center" wrapText="1"/>
    </xf>
    <xf numFmtId="0" fontId="9" fillId="0" borderId="11" xfId="0" applyFont="1" applyBorder="1" applyProtection="1"/>
    <xf numFmtId="171" fontId="6" fillId="0" borderId="20" xfId="0" applyNumberFormat="1" applyFont="1" applyBorder="1" applyProtection="1"/>
    <xf numFmtId="171" fontId="6" fillId="0" borderId="42" xfId="0" applyNumberFormat="1" applyFont="1" applyBorder="1" applyProtection="1"/>
    <xf numFmtId="171" fontId="6" fillId="0" borderId="21" xfId="0" applyNumberFormat="1" applyFont="1" applyBorder="1" applyProtection="1"/>
    <xf numFmtId="0" fontId="7" fillId="0" borderId="0" xfId="0" applyFont="1" applyBorder="1" applyAlignment="1" applyProtection="1">
      <alignment horizontal="center"/>
    </xf>
    <xf numFmtId="0" fontId="6" fillId="0" borderId="11" xfId="0" applyFont="1" applyBorder="1" applyAlignment="1" applyProtection="1">
      <alignment horizontal="left" indent="1"/>
    </xf>
    <xf numFmtId="0" fontId="6" fillId="0" borderId="11" xfId="0" applyFont="1" applyBorder="1" applyAlignment="1" applyProtection="1">
      <alignment horizontal="center"/>
    </xf>
    <xf numFmtId="168" fontId="6" fillId="0" borderId="0" xfId="0" applyNumberFormat="1" applyFont="1" applyBorder="1" applyProtection="1"/>
    <xf numFmtId="0" fontId="6" fillId="0" borderId="11" xfId="0" applyFont="1" applyFill="1" applyBorder="1" applyAlignment="1" applyProtection="1">
      <alignment horizontal="left" indent="1"/>
    </xf>
    <xf numFmtId="0" fontId="6" fillId="0" borderId="0" xfId="0" applyFont="1" applyFill="1" applyProtection="1"/>
    <xf numFmtId="171" fontId="7" fillId="0" borderId="25" xfId="0" applyNumberFormat="1" applyFont="1" applyBorder="1" applyProtection="1"/>
    <xf numFmtId="171" fontId="7" fillId="0" borderId="43" xfId="0" applyNumberFormat="1" applyFont="1" applyBorder="1" applyProtection="1"/>
    <xf numFmtId="171" fontId="7" fillId="0" borderId="26" xfId="0" applyNumberFormat="1" applyFont="1" applyBorder="1" applyProtection="1"/>
    <xf numFmtId="168" fontId="7" fillId="0" borderId="0" xfId="0" applyNumberFormat="1" applyFont="1" applyBorder="1" applyProtection="1"/>
    <xf numFmtId="0" fontId="6" fillId="0" borderId="11" xfId="0" applyFont="1" applyBorder="1" applyProtection="1"/>
    <xf numFmtId="0" fontId="7" fillId="0" borderId="11" xfId="0" applyFont="1" applyBorder="1" applyProtection="1"/>
    <xf numFmtId="171" fontId="7" fillId="0" borderId="20" xfId="0" applyNumberFormat="1" applyFont="1" applyBorder="1" applyProtection="1"/>
    <xf numFmtId="171" fontId="7" fillId="0" borderId="42" xfId="0" applyNumberFormat="1" applyFont="1" applyBorder="1" applyProtection="1"/>
    <xf numFmtId="171" fontId="7" fillId="0" borderId="21" xfId="0" applyNumberFormat="1" applyFont="1" applyBorder="1" applyProtection="1"/>
    <xf numFmtId="171" fontId="7" fillId="0" borderId="20" xfId="0" applyNumberFormat="1" applyFont="1" applyBorder="1" applyAlignment="1" applyProtection="1">
      <alignment vertical="top"/>
    </xf>
    <xf numFmtId="171" fontId="7" fillId="0" borderId="42" xfId="0" applyNumberFormat="1" applyFont="1" applyBorder="1" applyAlignment="1" applyProtection="1">
      <alignment vertical="top"/>
    </xf>
    <xf numFmtId="171" fontId="7" fillId="0" borderId="21" xfId="0" applyNumberFormat="1" applyFont="1" applyBorder="1" applyAlignment="1" applyProtection="1">
      <alignment vertical="top"/>
    </xf>
    <xf numFmtId="171" fontId="7" fillId="0" borderId="23" xfId="0" applyNumberFormat="1" applyFont="1" applyBorder="1" applyProtection="1"/>
    <xf numFmtId="171" fontId="7" fillId="0" borderId="51" xfId="0" applyNumberFormat="1" applyFont="1" applyBorder="1" applyProtection="1"/>
    <xf numFmtId="171" fontId="7" fillId="0" borderId="24" xfId="0" applyNumberFormat="1" applyFont="1" applyBorder="1" applyProtection="1"/>
    <xf numFmtId="0" fontId="6" fillId="0" borderId="0" xfId="0" applyFont="1" applyBorder="1" applyProtection="1"/>
    <xf numFmtId="168" fontId="6" fillId="0" borderId="0" xfId="0" applyNumberFormat="1" applyFont="1" applyProtection="1"/>
    <xf numFmtId="0" fontId="6" fillId="0" borderId="0" xfId="0" applyFont="1" applyFill="1" applyBorder="1" applyProtection="1"/>
    <xf numFmtId="0" fontId="6" fillId="0" borderId="0" xfId="0" applyFont="1" applyFill="1" applyBorder="1" applyAlignment="1" applyProtection="1">
      <alignment horizontal="center"/>
    </xf>
    <xf numFmtId="171" fontId="6" fillId="25" borderId="20" xfId="0" applyNumberFormat="1" applyFont="1" applyFill="1" applyBorder="1" applyProtection="1">
      <protection locked="0"/>
    </xf>
    <xf numFmtId="171" fontId="6" fillId="25" borderId="42" xfId="0" applyNumberFormat="1" applyFont="1" applyFill="1" applyBorder="1" applyProtection="1">
      <protection locked="0"/>
    </xf>
    <xf numFmtId="171" fontId="6" fillId="25" borderId="21" xfId="0" applyNumberFormat="1" applyFont="1" applyFill="1" applyBorder="1" applyProtection="1">
      <protection locked="0"/>
    </xf>
    <xf numFmtId="171" fontId="6" fillId="25" borderId="59" xfId="0" applyNumberFormat="1" applyFont="1" applyFill="1" applyBorder="1" applyProtection="1">
      <protection locked="0"/>
    </xf>
    <xf numFmtId="171" fontId="6" fillId="25" borderId="63" xfId="0" applyNumberFormat="1" applyFont="1" applyFill="1" applyBorder="1" applyProtection="1">
      <protection locked="0"/>
    </xf>
    <xf numFmtId="171" fontId="6" fillId="25" borderId="58" xfId="0" applyNumberFormat="1" applyFont="1" applyFill="1" applyBorder="1" applyProtection="1">
      <protection locked="0"/>
    </xf>
    <xf numFmtId="171" fontId="6" fillId="0" borderId="20" xfId="0" applyNumberFormat="1" applyFont="1" applyFill="1" applyBorder="1"/>
    <xf numFmtId="171" fontId="6" fillId="0" borderId="42" xfId="0" applyNumberFormat="1" applyFont="1" applyFill="1" applyBorder="1"/>
    <xf numFmtId="171" fontId="6" fillId="0" borderId="21" xfId="0" applyNumberFormat="1" applyFont="1" applyFill="1" applyBorder="1"/>
    <xf numFmtId="171" fontId="7" fillId="25" borderId="21" xfId="0" applyNumberFormat="1" applyFont="1" applyFill="1" applyBorder="1" applyProtection="1">
      <protection locked="0"/>
    </xf>
    <xf numFmtId="0" fontId="7" fillId="25" borderId="11" xfId="0" applyFont="1" applyFill="1" applyBorder="1" applyAlignment="1" applyProtection="1">
      <alignment horizontal="left" vertical="top" wrapText="1"/>
      <protection locked="0"/>
    </xf>
    <xf numFmtId="0" fontId="7"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vertical="top" wrapText="1"/>
      <protection locked="0"/>
    </xf>
    <xf numFmtId="0" fontId="6"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wrapText="1"/>
      <protection locked="0"/>
    </xf>
    <xf numFmtId="0" fontId="6" fillId="25" borderId="10" xfId="0" applyFont="1" applyFill="1" applyBorder="1" applyAlignment="1" applyProtection="1">
      <alignment horizontal="left" wrapText="1"/>
      <protection locked="0"/>
    </xf>
    <xf numFmtId="0" fontId="9" fillId="25" borderId="10" xfId="0" applyFont="1" applyFill="1" applyBorder="1" applyAlignment="1" applyProtection="1">
      <alignment horizontal="left" wrapText="1"/>
      <protection locked="0"/>
    </xf>
    <xf numFmtId="0" fontId="6" fillId="25" borderId="15" xfId="0" applyFont="1" applyFill="1" applyBorder="1" applyAlignment="1" applyProtection="1">
      <alignment horizontal="left" wrapText="1"/>
      <protection locked="0"/>
    </xf>
    <xf numFmtId="0" fontId="9" fillId="25" borderId="47" xfId="0" applyFont="1" applyFill="1" applyBorder="1" applyAlignment="1" applyProtection="1">
      <alignment horizontal="left" wrapText="1"/>
      <protection locked="0"/>
    </xf>
    <xf numFmtId="171" fontId="6" fillId="25" borderId="36" xfId="0" applyNumberFormat="1" applyFont="1" applyFill="1" applyBorder="1" applyProtection="1">
      <protection locked="0"/>
    </xf>
    <xf numFmtId="171" fontId="6" fillId="25" borderId="35" xfId="0" applyNumberFormat="1" applyFont="1" applyFill="1" applyBorder="1" applyProtection="1">
      <protection locked="0"/>
    </xf>
    <xf numFmtId="171" fontId="6" fillId="25" borderId="48" xfId="0" applyNumberFormat="1" applyFont="1" applyFill="1" applyBorder="1" applyProtection="1">
      <protection locked="0"/>
    </xf>
    <xf numFmtId="168" fontId="6" fillId="25" borderId="0" xfId="0" applyNumberFormat="1" applyFont="1" applyFill="1" applyBorder="1" applyProtection="1">
      <protection locked="0"/>
    </xf>
    <xf numFmtId="0" fontId="6" fillId="0" borderId="21" xfId="0" applyFont="1" applyFill="1" applyBorder="1" applyAlignment="1" applyProtection="1">
      <alignment horizontal="center" vertical="top" wrapText="1"/>
      <protection locked="0"/>
    </xf>
    <xf numFmtId="9" fontId="6" fillId="25" borderId="21" xfId="41" applyFont="1" applyFill="1" applyBorder="1" applyAlignment="1" applyProtection="1">
      <alignment horizontal="center" vertical="top" wrapText="1"/>
      <protection locked="0"/>
    </xf>
    <xf numFmtId="9" fontId="6" fillId="25" borderId="20" xfId="41" applyFont="1" applyFill="1" applyBorder="1" applyAlignment="1" applyProtection="1">
      <alignment horizontal="center" vertical="top" wrapText="1"/>
      <protection locked="0"/>
    </xf>
    <xf numFmtId="9" fontId="6" fillId="25" borderId="42" xfId="41" applyFont="1" applyFill="1" applyBorder="1" applyAlignment="1" applyProtection="1">
      <alignment horizontal="center" vertical="top" wrapText="1"/>
      <protection locked="0"/>
    </xf>
    <xf numFmtId="0" fontId="6" fillId="25" borderId="11" xfId="0" applyFont="1" applyFill="1" applyBorder="1" applyProtection="1">
      <protection locked="0"/>
    </xf>
    <xf numFmtId="168" fontId="6" fillId="25" borderId="20" xfId="0" applyNumberFormat="1" applyFont="1" applyFill="1" applyBorder="1" applyProtection="1">
      <protection locked="0"/>
    </xf>
    <xf numFmtId="168" fontId="6" fillId="25" borderId="42" xfId="0" applyNumberFormat="1" applyFont="1" applyFill="1" applyBorder="1" applyProtection="1">
      <protection locked="0"/>
    </xf>
    <xf numFmtId="168" fontId="6" fillId="25" borderId="21" xfId="0" applyNumberFormat="1" applyFont="1" applyFill="1" applyBorder="1" applyProtection="1">
      <protection locked="0"/>
    </xf>
    <xf numFmtId="171" fontId="6" fillId="25" borderId="31" xfId="0" applyNumberFormat="1" applyFont="1" applyFill="1" applyBorder="1" applyProtection="1">
      <protection locked="0"/>
    </xf>
    <xf numFmtId="171" fontId="6" fillId="25" borderId="0" xfId="0" applyNumberFormat="1" applyFont="1" applyFill="1" applyBorder="1" applyProtection="1">
      <protection locked="0"/>
    </xf>
    <xf numFmtId="171" fontId="6" fillId="25" borderId="20" xfId="0" applyNumberFormat="1" applyFont="1" applyFill="1" applyBorder="1" applyAlignment="1" applyProtection="1">
      <alignment vertical="top"/>
      <protection locked="0"/>
    </xf>
    <xf numFmtId="171" fontId="6" fillId="25" borderId="31" xfId="0" applyNumberFormat="1" applyFont="1" applyFill="1" applyBorder="1" applyAlignment="1" applyProtection="1">
      <alignment vertical="top"/>
      <protection locked="0"/>
    </xf>
    <xf numFmtId="171" fontId="6" fillId="25" borderId="21" xfId="0" applyNumberFormat="1" applyFont="1" applyFill="1" applyBorder="1" applyAlignment="1" applyProtection="1">
      <alignment vertical="top"/>
      <protection locked="0"/>
    </xf>
    <xf numFmtId="171" fontId="6" fillId="25" borderId="42" xfId="0" applyNumberFormat="1" applyFont="1" applyFill="1" applyBorder="1" applyAlignment="1" applyProtection="1">
      <alignment vertical="top"/>
      <protection locked="0"/>
    </xf>
    <xf numFmtId="0" fontId="7" fillId="25" borderId="21" xfId="0" applyFont="1" applyFill="1" applyBorder="1" applyAlignment="1" applyProtection="1">
      <alignment horizontal="center"/>
      <protection locked="0"/>
    </xf>
    <xf numFmtId="0" fontId="7" fillId="25" borderId="20" xfId="28" applyNumberFormat="1" applyFont="1" applyFill="1" applyBorder="1" applyAlignment="1" applyProtection="1">
      <alignment horizontal="center"/>
      <protection locked="0"/>
    </xf>
    <xf numFmtId="0" fontId="10" fillId="25" borderId="20" xfId="0" applyFont="1" applyFill="1" applyBorder="1" applyAlignment="1" applyProtection="1">
      <alignment horizontal="center"/>
      <protection locked="0"/>
    </xf>
    <xf numFmtId="0" fontId="10" fillId="25" borderId="42" xfId="0" applyFont="1" applyFill="1" applyBorder="1" applyAlignment="1" applyProtection="1">
      <alignment horizontal="center"/>
      <protection locked="0"/>
    </xf>
    <xf numFmtId="0" fontId="7" fillId="25" borderId="42" xfId="0" applyFont="1" applyFill="1" applyBorder="1" applyAlignment="1" applyProtection="1">
      <alignment horizontal="center"/>
      <protection locked="0"/>
    </xf>
    <xf numFmtId="0" fontId="7" fillId="25" borderId="11" xfId="0" applyFont="1" applyFill="1" applyBorder="1" applyAlignment="1" applyProtection="1">
      <alignment horizontal="left"/>
      <protection locked="0"/>
    </xf>
    <xf numFmtId="0" fontId="6" fillId="25" borderId="20" xfId="28" applyNumberFormat="1" applyFont="1" applyFill="1" applyBorder="1" applyAlignment="1" applyProtection="1">
      <alignment horizontal="center"/>
      <protection locked="0"/>
    </xf>
    <xf numFmtId="0" fontId="7" fillId="25" borderId="11" xfId="0" applyFont="1" applyFill="1" applyBorder="1" applyProtection="1">
      <protection locked="0"/>
    </xf>
    <xf numFmtId="168" fontId="6" fillId="25" borderId="29" xfId="0" applyNumberFormat="1" applyFont="1" applyFill="1" applyBorder="1" applyAlignment="1" applyProtection="1">
      <alignment horizontal="center"/>
      <protection locked="0"/>
    </xf>
    <xf numFmtId="168" fontId="6" fillId="25" borderId="20" xfId="0" applyNumberFormat="1"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7" fillId="0" borderId="66" xfId="0" applyFont="1" applyFill="1" applyBorder="1" applyAlignment="1">
      <alignment horizontal="center" vertical="center" wrapText="1"/>
    </xf>
    <xf numFmtId="0" fontId="14" fillId="26" borderId="66" xfId="0" applyFont="1" applyFill="1" applyBorder="1"/>
    <xf numFmtId="0" fontId="14" fillId="26" borderId="67" xfId="0" applyFont="1" applyFill="1" applyBorder="1" applyAlignment="1">
      <alignment horizontal="left"/>
    </xf>
    <xf numFmtId="0" fontId="14" fillId="26" borderId="14" xfId="0" applyFont="1" applyFill="1" applyBorder="1" applyAlignment="1">
      <alignment horizontal="left"/>
    </xf>
    <xf numFmtId="0" fontId="14" fillId="26" borderId="66" xfId="0" applyFont="1" applyFill="1" applyBorder="1" applyAlignment="1">
      <alignment horizontal="left"/>
    </xf>
    <xf numFmtId="0" fontId="3" fillId="27" borderId="0" xfId="0" applyFont="1" applyFill="1"/>
    <xf numFmtId="0" fontId="2" fillId="0" borderId="10" xfId="0" applyFont="1" applyBorder="1"/>
    <xf numFmtId="0" fontId="2" fillId="0" borderId="47" xfId="0" applyFont="1" applyBorder="1"/>
    <xf numFmtId="0" fontId="15" fillId="0" borderId="0" xfId="0" applyFont="1"/>
    <xf numFmtId="0" fontId="2" fillId="0" borderId="15" xfId="0" applyFont="1" applyBorder="1"/>
    <xf numFmtId="0" fontId="16" fillId="0" borderId="0" xfId="0" applyFont="1"/>
    <xf numFmtId="0" fontId="9" fillId="0" borderId="10" xfId="0" applyFont="1" applyBorder="1"/>
    <xf numFmtId="0" fontId="10" fillId="25" borderId="10" xfId="0" applyFont="1" applyFill="1" applyBorder="1" applyAlignment="1" applyProtection="1">
      <alignment horizontal="left" indent="1"/>
      <protection locked="0"/>
    </xf>
    <xf numFmtId="0" fontId="6" fillId="25" borderId="10" xfId="0" applyFont="1" applyFill="1" applyBorder="1" applyProtection="1">
      <protection locked="0"/>
    </xf>
    <xf numFmtId="0" fontId="7" fillId="0" borderId="50" xfId="0" applyFont="1" applyBorder="1"/>
    <xf numFmtId="0" fontId="6" fillId="0" borderId="10" xfId="0" applyFont="1" applyBorder="1"/>
    <xf numFmtId="0" fontId="10" fillId="25" borderId="10" xfId="0" applyFont="1" applyFill="1" applyBorder="1" applyProtection="1">
      <protection locked="0"/>
    </xf>
    <xf numFmtId="0" fontId="7" fillId="0" borderId="32" xfId="0" applyFont="1" applyBorder="1"/>
    <xf numFmtId="0" fontId="7" fillId="0" borderId="44" xfId="0" applyFont="1" applyFill="1" applyBorder="1" applyAlignment="1" applyProtection="1">
      <alignment horizontal="center" vertical="center" wrapText="1"/>
    </xf>
    <xf numFmtId="0" fontId="9" fillId="0" borderId="68" xfId="0" applyFont="1" applyFill="1" applyBorder="1"/>
    <xf numFmtId="0" fontId="7" fillId="0" borderId="68" xfId="0" applyFont="1" applyFill="1" applyBorder="1"/>
    <xf numFmtId="0" fontId="6" fillId="0" borderId="15" xfId="0" applyFont="1" applyFill="1" applyBorder="1"/>
    <xf numFmtId="0" fontId="9" fillId="0" borderId="66" xfId="0" applyFont="1" applyFill="1" applyBorder="1"/>
    <xf numFmtId="0" fontId="8" fillId="0" borderId="11" xfId="0" applyFont="1" applyFill="1" applyBorder="1"/>
    <xf numFmtId="0" fontId="7" fillId="0" borderId="15" xfId="0" applyFont="1" applyFill="1" applyBorder="1"/>
    <xf numFmtId="0" fontId="9" fillId="0" borderId="11" xfId="0" applyFont="1" applyFill="1" applyBorder="1"/>
    <xf numFmtId="0" fontId="7" fillId="0" borderId="11" xfId="0" applyFont="1" applyFill="1" applyBorder="1" applyAlignment="1">
      <alignment horizontal="left" indent="1"/>
    </xf>
    <xf numFmtId="0" fontId="6" fillId="0" borderId="15" xfId="0" applyFont="1" applyBorder="1" applyAlignment="1">
      <alignment horizontal="left" indent="1"/>
    </xf>
    <xf numFmtId="0" fontId="6" fillId="0" borderId="47" xfId="0" applyFont="1" applyBorder="1" applyAlignment="1">
      <alignment horizontal="center"/>
    </xf>
    <xf numFmtId="0" fontId="7" fillId="0" borderId="11" xfId="0" applyFont="1" applyFill="1" applyBorder="1" applyAlignment="1">
      <alignment horizontal="center" vertical="center" wrapText="1"/>
    </xf>
    <xf numFmtId="0" fontId="6" fillId="25" borderId="68" xfId="0" applyFont="1" applyFill="1" applyBorder="1" applyProtection="1">
      <protection locked="0"/>
    </xf>
    <xf numFmtId="0" fontId="6" fillId="0" borderId="58" xfId="0" applyFont="1" applyBorder="1" applyAlignment="1">
      <alignment horizontal="center" wrapText="1"/>
    </xf>
    <xf numFmtId="0" fontId="6" fillId="0" borderId="30" xfId="0" applyFont="1" applyFill="1" applyBorder="1" applyAlignment="1" applyProtection="1">
      <alignment horizontal="center"/>
      <protection locked="0"/>
    </xf>
    <xf numFmtId="0" fontId="6" fillId="0" borderId="21" xfId="0" applyFont="1" applyFill="1" applyBorder="1" applyAlignment="1" applyProtection="1">
      <alignment horizontal="center"/>
      <protection locked="0"/>
    </xf>
    <xf numFmtId="0" fontId="6" fillId="0" borderId="24" xfId="0" applyFont="1" applyBorder="1" applyAlignment="1">
      <alignment horizontal="center"/>
    </xf>
    <xf numFmtId="0" fontId="7" fillId="0" borderId="11" xfId="0" applyNumberFormat="1" applyFont="1" applyBorder="1" applyAlignment="1">
      <alignment horizontal="left" wrapText="1"/>
    </xf>
    <xf numFmtId="171" fontId="7" fillId="0" borderId="26" xfId="0" applyNumberFormat="1" applyFont="1" applyBorder="1" applyAlignment="1">
      <alignment vertical="top"/>
    </xf>
    <xf numFmtId="171" fontId="7" fillId="0" borderId="25" xfId="0" applyNumberFormat="1" applyFont="1" applyBorder="1" applyAlignment="1">
      <alignment vertical="top"/>
    </xf>
    <xf numFmtId="171" fontId="7" fillId="0" borderId="43" xfId="0" applyNumberFormat="1" applyFont="1" applyBorder="1" applyAlignment="1">
      <alignment vertical="top"/>
    </xf>
    <xf numFmtId="0" fontId="6" fillId="0" borderId="10" xfId="0" applyFont="1" applyFill="1" applyBorder="1" applyAlignment="1">
      <alignment horizontal="left" indent="1"/>
    </xf>
    <xf numFmtId="0" fontId="8" fillId="0" borderId="10" xfId="0" applyFont="1" applyFill="1" applyBorder="1"/>
    <xf numFmtId="0" fontId="7" fillId="0" borderId="10" xfId="0" applyFont="1" applyFill="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9" fillId="0" borderId="68" xfId="0" applyFont="1" applyBorder="1" applyProtection="1"/>
    <xf numFmtId="0" fontId="6" fillId="0" borderId="10" xfId="0" applyFont="1" applyBorder="1" applyAlignment="1" applyProtection="1">
      <alignment horizontal="center"/>
    </xf>
    <xf numFmtId="0" fontId="9" fillId="0" borderId="10" xfId="0" applyFont="1" applyBorder="1" applyAlignment="1" applyProtection="1">
      <alignment horizontal="center"/>
    </xf>
    <xf numFmtId="0" fontId="6" fillId="0" borderId="10" xfId="0" applyFont="1" applyBorder="1" applyAlignment="1" applyProtection="1">
      <alignment horizontal="center" vertical="top"/>
    </xf>
    <xf numFmtId="171" fontId="7" fillId="0" borderId="29" xfId="0" applyNumberFormat="1" applyFont="1" applyFill="1" applyBorder="1"/>
    <xf numFmtId="171" fontId="7" fillId="0" borderId="0" xfId="0" applyNumberFormat="1" applyFont="1" applyFill="1" applyBorder="1"/>
    <xf numFmtId="171" fontId="7" fillId="0" borderId="11" xfId="0" applyNumberFormat="1" applyFont="1" applyFill="1" applyBorder="1"/>
    <xf numFmtId="171" fontId="7" fillId="0" borderId="20" xfId="0" applyNumberFormat="1" applyFont="1" applyFill="1" applyBorder="1"/>
    <xf numFmtId="171" fontId="7" fillId="0" borderId="12" xfId="0" applyNumberFormat="1" applyFont="1" applyFill="1" applyBorder="1"/>
    <xf numFmtId="171" fontId="7" fillId="0" borderId="49" xfId="0" applyNumberFormat="1" applyFont="1" applyFill="1" applyBorder="1"/>
    <xf numFmtId="171" fontId="7" fillId="0" borderId="42" xfId="0" applyNumberFormat="1" applyFont="1" applyFill="1" applyBorder="1"/>
    <xf numFmtId="0" fontId="6" fillId="0" borderId="11" xfId="0" applyFont="1" applyBorder="1" applyAlignment="1">
      <alignment horizontal="left" indent="2"/>
    </xf>
    <xf numFmtId="0" fontId="6" fillId="0" borderId="69" xfId="0" applyFont="1" applyBorder="1" applyAlignment="1">
      <alignment horizontal="center"/>
    </xf>
    <xf numFmtId="0" fontId="7" fillId="0" borderId="11" xfId="0" applyFont="1" applyBorder="1" applyAlignment="1">
      <alignment horizontal="left" indent="1"/>
    </xf>
    <xf numFmtId="0" fontId="7" fillId="0" borderId="57" xfId="0" applyFont="1" applyBorder="1"/>
    <xf numFmtId="0" fontId="9" fillId="0" borderId="11" xfId="0" applyNumberFormat="1" applyFont="1" applyBorder="1"/>
    <xf numFmtId="0" fontId="6" fillId="0" borderId="20" xfId="0" applyNumberFormat="1" applyFont="1" applyBorder="1" applyAlignment="1">
      <alignment horizontal="center"/>
    </xf>
    <xf numFmtId="0" fontId="10" fillId="0" borderId="11" xfId="0" applyNumberFormat="1" applyFont="1" applyBorder="1" applyAlignment="1">
      <alignment horizontal="left" indent="2"/>
    </xf>
    <xf numFmtId="171" fontId="6" fillId="25" borderId="54" xfId="0" applyNumberFormat="1" applyFont="1" applyFill="1" applyBorder="1" applyProtection="1">
      <protection locked="0"/>
    </xf>
    <xf numFmtId="0" fontId="6" fillId="0" borderId="11" xfId="0" applyNumberFormat="1" applyFont="1" applyBorder="1"/>
    <xf numFmtId="171" fontId="6" fillId="0" borderId="12" xfId="0" applyNumberFormat="1" applyFont="1" applyBorder="1"/>
    <xf numFmtId="171" fontId="6" fillId="0" borderId="11" xfId="0" applyNumberFormat="1" applyFont="1" applyBorder="1"/>
    <xf numFmtId="171" fontId="7" fillId="0" borderId="12" xfId="0" applyNumberFormat="1" applyFont="1" applyBorder="1"/>
    <xf numFmtId="171" fontId="7" fillId="0" borderId="11" xfId="0" applyNumberFormat="1" applyFont="1" applyBorder="1"/>
    <xf numFmtId="0" fontId="10" fillId="0" borderId="11" xfId="0" applyNumberFormat="1" applyFont="1" applyBorder="1"/>
    <xf numFmtId="0" fontId="9" fillId="0" borderId="66" xfId="0" applyFont="1" applyBorder="1"/>
    <xf numFmtId="0" fontId="7" fillId="0" borderId="68" xfId="0" applyFont="1" applyBorder="1"/>
    <xf numFmtId="171" fontId="7" fillId="0" borderId="46" xfId="0" applyNumberFormat="1" applyFont="1" applyBorder="1"/>
    <xf numFmtId="171" fontId="7" fillId="0" borderId="70" xfId="0" applyNumberFormat="1" applyFont="1" applyBorder="1"/>
    <xf numFmtId="0" fontId="6" fillId="0" borderId="67" xfId="0" applyFont="1" applyBorder="1"/>
    <xf numFmtId="0" fontId="6" fillId="0" borderId="67" xfId="0" applyFont="1" applyBorder="1" applyAlignment="1">
      <alignment horizontal="center"/>
    </xf>
    <xf numFmtId="171" fontId="6" fillId="0" borderId="67" xfId="0" applyNumberFormat="1" applyFont="1" applyBorder="1"/>
    <xf numFmtId="0" fontId="5" fillId="0" borderId="13" xfId="0" applyFont="1" applyFill="1" applyBorder="1" applyAlignment="1">
      <alignment horizontal="left"/>
    </xf>
    <xf numFmtId="49" fontId="7" fillId="0" borderId="34" xfId="0" applyNumberFormat="1" applyFont="1" applyFill="1" applyBorder="1" applyAlignment="1">
      <alignment horizontal="center" vertical="center" wrapText="1"/>
    </xf>
    <xf numFmtId="0" fontId="7" fillId="0" borderId="33" xfId="0" applyFont="1" applyFill="1" applyBorder="1" applyAlignment="1">
      <alignment vertical="center"/>
    </xf>
    <xf numFmtId="0" fontId="7" fillId="0" borderId="35"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1" xfId="0" applyNumberFormat="1" applyFont="1" applyFill="1" applyBorder="1"/>
    <xf numFmtId="172" fontId="6" fillId="0" borderId="20" xfId="28" applyNumberFormat="1" applyFont="1" applyBorder="1"/>
    <xf numFmtId="172" fontId="6" fillId="0" borderId="12" xfId="28" applyNumberFormat="1" applyFont="1" applyBorder="1"/>
    <xf numFmtId="172" fontId="6" fillId="0" borderId="11" xfId="28" applyNumberFormat="1" applyFont="1" applyBorder="1"/>
    <xf numFmtId="172" fontId="6" fillId="0" borderId="42" xfId="28" applyNumberFormat="1" applyFont="1" applyBorder="1"/>
    <xf numFmtId="172" fontId="6" fillId="0" borderId="0" xfId="28" applyNumberFormat="1" applyFont="1" applyBorder="1"/>
    <xf numFmtId="172" fontId="6" fillId="25" borderId="20" xfId="28" applyNumberFormat="1" applyFont="1" applyFill="1" applyBorder="1" applyProtection="1">
      <protection locked="0"/>
    </xf>
    <xf numFmtId="172" fontId="6" fillId="25" borderId="12" xfId="28" applyNumberFormat="1" applyFont="1" applyFill="1" applyBorder="1" applyProtection="1">
      <protection locked="0"/>
    </xf>
    <xf numFmtId="172" fontId="6" fillId="25" borderId="11" xfId="28" applyNumberFormat="1" applyFont="1" applyFill="1" applyBorder="1" applyProtection="1">
      <protection locked="0"/>
    </xf>
    <xf numFmtId="172" fontId="6" fillId="25" borderId="42" xfId="28" applyNumberFormat="1" applyFont="1" applyFill="1" applyBorder="1" applyProtection="1">
      <protection locked="0"/>
    </xf>
    <xf numFmtId="172" fontId="6" fillId="25" borderId="0" xfId="28" applyNumberFormat="1" applyFont="1" applyFill="1" applyBorder="1" applyProtection="1">
      <protection locked="0"/>
    </xf>
    <xf numFmtId="172" fontId="10" fillId="0" borderId="20" xfId="28" applyNumberFormat="1" applyFont="1" applyFill="1" applyBorder="1" applyProtection="1"/>
    <xf numFmtId="172" fontId="10" fillId="0" borderId="12" xfId="28" applyNumberFormat="1" applyFont="1" applyFill="1" applyBorder="1" applyProtection="1"/>
    <xf numFmtId="172" fontId="10" fillId="0" borderId="11" xfId="28" applyNumberFormat="1" applyFont="1" applyFill="1" applyBorder="1" applyProtection="1"/>
    <xf numFmtId="172" fontId="10" fillId="0" borderId="42" xfId="28" applyNumberFormat="1" applyFont="1" applyFill="1" applyBorder="1" applyProtection="1"/>
    <xf numFmtId="172" fontId="10" fillId="0" borderId="0" xfId="28" applyNumberFormat="1" applyFont="1" applyFill="1" applyBorder="1" applyProtection="1"/>
    <xf numFmtId="172" fontId="7" fillId="0" borderId="23" xfId="28" applyNumberFormat="1" applyFont="1" applyBorder="1"/>
    <xf numFmtId="172" fontId="7" fillId="0" borderId="27" xfId="28" applyNumberFormat="1" applyFont="1" applyBorder="1"/>
    <xf numFmtId="172" fontId="7" fillId="0" borderId="24" xfId="28" applyNumberFormat="1" applyFont="1" applyBorder="1"/>
    <xf numFmtId="172" fontId="7" fillId="0" borderId="51" xfId="28" applyNumberFormat="1" applyFont="1" applyBorder="1"/>
    <xf numFmtId="172" fontId="7" fillId="0" borderId="72" xfId="28" applyNumberFormat="1" applyFont="1" applyBorder="1"/>
    <xf numFmtId="173" fontId="7" fillId="0" borderId="20" xfId="28" applyNumberFormat="1" applyFont="1" applyBorder="1"/>
    <xf numFmtId="173" fontId="6" fillId="0" borderId="33" xfId="41" applyNumberFormat="1" applyFont="1" applyBorder="1" applyAlignment="1">
      <alignment horizontal="center"/>
    </xf>
    <xf numFmtId="173" fontId="6" fillId="0" borderId="41" xfId="41" applyNumberFormat="1" applyFont="1" applyBorder="1" applyAlignment="1">
      <alignment horizontal="center"/>
    </xf>
    <xf numFmtId="173" fontId="6" fillId="0" borderId="11" xfId="41" applyNumberFormat="1" applyFont="1" applyBorder="1" applyAlignment="1">
      <alignment horizontal="center"/>
    </xf>
    <xf numFmtId="173" fontId="6" fillId="0" borderId="20" xfId="41" applyNumberFormat="1" applyFont="1" applyBorder="1" applyAlignment="1">
      <alignment horizontal="center"/>
    </xf>
    <xf numFmtId="173" fontId="6" fillId="0" borderId="42" xfId="41" applyNumberFormat="1" applyFont="1" applyBorder="1" applyAlignment="1">
      <alignment horizontal="center"/>
    </xf>
    <xf numFmtId="173" fontId="6" fillId="0" borderId="0" xfId="41" applyNumberFormat="1" applyFont="1" applyBorder="1" applyAlignment="1">
      <alignment horizontal="center"/>
    </xf>
    <xf numFmtId="173" fontId="6" fillId="0" borderId="12" xfId="41" applyNumberFormat="1" applyFont="1" applyBorder="1" applyAlignment="1">
      <alignment horizontal="center"/>
    </xf>
    <xf numFmtId="172" fontId="7" fillId="25" borderId="20" xfId="28" applyNumberFormat="1" applyFont="1" applyFill="1" applyBorder="1" applyProtection="1">
      <protection locked="0"/>
    </xf>
    <xf numFmtId="172" fontId="7" fillId="25" borderId="20" xfId="28" applyNumberFormat="1" applyFont="1" applyFill="1" applyBorder="1" applyAlignment="1" applyProtection="1">
      <alignment horizontal="center"/>
      <protection locked="0"/>
    </xf>
    <xf numFmtId="172" fontId="7" fillId="25" borderId="12" xfId="28" applyNumberFormat="1" applyFont="1" applyFill="1" applyBorder="1" applyAlignment="1" applyProtection="1">
      <alignment horizontal="center"/>
      <protection locked="0"/>
    </xf>
    <xf numFmtId="172" fontId="7" fillId="25" borderId="11" xfId="41" applyNumberFormat="1" applyFont="1" applyFill="1" applyBorder="1" applyAlignment="1" applyProtection="1">
      <alignment horizontal="center"/>
      <protection locked="0"/>
    </xf>
    <xf numFmtId="172" fontId="7" fillId="25" borderId="20" xfId="41" applyNumberFormat="1" applyFont="1" applyFill="1" applyBorder="1" applyAlignment="1" applyProtection="1">
      <alignment horizontal="center"/>
      <protection locked="0"/>
    </xf>
    <xf numFmtId="172" fontId="7" fillId="25" borderId="42" xfId="41" applyNumberFormat="1" applyFont="1" applyFill="1" applyBorder="1" applyAlignment="1" applyProtection="1">
      <alignment horizontal="center"/>
      <protection locked="0"/>
    </xf>
    <xf numFmtId="172" fontId="7" fillId="25" borderId="0" xfId="41" applyNumberFormat="1" applyFont="1" applyFill="1" applyBorder="1" applyAlignment="1" applyProtection="1">
      <alignment horizontal="center"/>
      <protection locked="0"/>
    </xf>
    <xf numFmtId="172" fontId="7" fillId="25" borderId="12" xfId="41" applyNumberFormat="1" applyFont="1" applyFill="1" applyBorder="1" applyAlignment="1" applyProtection="1">
      <alignment horizontal="center"/>
      <protection locked="0"/>
    </xf>
    <xf numFmtId="0" fontId="6" fillId="0" borderId="15" xfId="0" applyNumberFormat="1" applyFont="1" applyBorder="1" applyAlignment="1">
      <alignment horizontal="left" indent="1"/>
    </xf>
    <xf numFmtId="0" fontId="6" fillId="0" borderId="35" xfId="0" applyNumberFormat="1" applyFont="1" applyBorder="1" applyAlignment="1">
      <alignment horizontal="center"/>
    </xf>
    <xf numFmtId="172" fontId="7" fillId="25" borderId="35" xfId="28" applyNumberFormat="1" applyFont="1" applyFill="1" applyBorder="1" applyProtection="1">
      <protection locked="0"/>
    </xf>
    <xf numFmtId="172" fontId="7" fillId="25" borderId="35" xfId="28" applyNumberFormat="1" applyFont="1" applyFill="1" applyBorder="1" applyAlignment="1" applyProtection="1">
      <alignment horizontal="center"/>
      <protection locked="0"/>
    </xf>
    <xf numFmtId="172" fontId="7" fillId="25" borderId="16" xfId="28" applyNumberFormat="1" applyFont="1" applyFill="1" applyBorder="1" applyAlignment="1" applyProtection="1">
      <alignment horizontal="center"/>
      <protection locked="0"/>
    </xf>
    <xf numFmtId="172" fontId="7" fillId="25" borderId="15" xfId="41" applyNumberFormat="1" applyFont="1" applyFill="1" applyBorder="1" applyAlignment="1" applyProtection="1">
      <alignment horizontal="center"/>
      <protection locked="0"/>
    </xf>
    <xf numFmtId="172" fontId="7" fillId="25" borderId="35" xfId="41" applyNumberFormat="1" applyFont="1" applyFill="1" applyBorder="1" applyAlignment="1" applyProtection="1">
      <alignment horizontal="center"/>
      <protection locked="0"/>
    </xf>
    <xf numFmtId="172" fontId="7" fillId="25" borderId="48" xfId="41" applyNumberFormat="1" applyFont="1" applyFill="1" applyBorder="1" applyAlignment="1" applyProtection="1">
      <alignment horizontal="center"/>
      <protection locked="0"/>
    </xf>
    <xf numFmtId="172" fontId="7" fillId="25" borderId="13" xfId="41" applyNumberFormat="1" applyFont="1" applyFill="1" applyBorder="1" applyAlignment="1" applyProtection="1">
      <alignment horizontal="center"/>
      <protection locked="0"/>
    </xf>
    <xf numFmtId="172" fontId="7" fillId="25" borderId="16" xfId="41" applyNumberFormat="1" applyFont="1" applyFill="1" applyBorder="1" applyAlignment="1" applyProtection="1">
      <alignment horizontal="center"/>
      <protection locked="0"/>
    </xf>
    <xf numFmtId="0" fontId="6" fillId="0" borderId="0" xfId="0" applyNumberFormat="1" applyFont="1" applyBorder="1"/>
    <xf numFmtId="0" fontId="6" fillId="0" borderId="0" xfId="0" applyFont="1" applyBorder="1" applyAlignment="1" applyProtection="1">
      <alignment horizontal="center"/>
      <protection locked="0"/>
    </xf>
    <xf numFmtId="168" fontId="6" fillId="0" borderId="0" xfId="0" applyNumberFormat="1" applyFont="1" applyBorder="1" applyProtection="1">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10" xfId="0" applyNumberFormat="1" applyFont="1" applyBorder="1" applyAlignment="1">
      <alignment wrapText="1"/>
    </xf>
    <xf numFmtId="9" fontId="7" fillId="0" borderId="30" xfId="41"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66" xfId="0" applyFont="1" applyFill="1" applyBorder="1" applyAlignment="1">
      <alignment horizontal="center" vertical="center"/>
    </xf>
    <xf numFmtId="0" fontId="7" fillId="0" borderId="6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9" fontId="7" fillId="0" borderId="29" xfId="41"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9" fontId="7" fillId="0" borderId="30" xfId="41" applyFont="1" applyFill="1" applyBorder="1" applyAlignment="1" applyProtection="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7" xfId="0" applyFont="1" applyFill="1" applyBorder="1" applyAlignment="1">
      <alignment horizontal="left" vertical="center" wrapText="1"/>
    </xf>
    <xf numFmtId="0" fontId="6" fillId="0" borderId="0" xfId="0" applyFont="1" applyAlignment="1" applyProtection="1"/>
    <xf numFmtId="0" fontId="7" fillId="0" borderId="15" xfId="0" applyFont="1" applyFill="1" applyBorder="1" applyAlignment="1">
      <alignment horizontal="left" vertical="center"/>
    </xf>
    <xf numFmtId="0" fontId="7" fillId="0" borderId="28" xfId="0" applyNumberFormat="1" applyFont="1" applyBorder="1" applyAlignment="1">
      <alignment horizontal="left" wrapText="1"/>
    </xf>
    <xf numFmtId="0" fontId="6" fillId="0" borderId="50" xfId="0" applyFont="1" applyBorder="1" applyAlignment="1" applyProtection="1">
      <alignment horizontal="center"/>
    </xf>
    <xf numFmtId="0" fontId="7" fillId="0" borderId="28" xfId="0" applyFont="1" applyBorder="1" applyProtection="1"/>
    <xf numFmtId="0" fontId="10" fillId="0" borderId="0" xfId="0" applyFont="1" applyBorder="1" applyProtection="1"/>
    <xf numFmtId="0" fontId="6" fillId="0" borderId="0" xfId="0" applyFont="1" applyAlignment="1"/>
    <xf numFmtId="171" fontId="7" fillId="0" borderId="58" xfId="0" applyNumberFormat="1" applyFont="1" applyBorder="1"/>
    <xf numFmtId="171" fontId="7" fillId="0" borderId="59" xfId="0" applyNumberFormat="1" applyFont="1" applyBorder="1"/>
    <xf numFmtId="171" fontId="7" fillId="0" borderId="63" xfId="0" applyNumberFormat="1" applyFont="1" applyBorder="1"/>
    <xf numFmtId="0" fontId="6" fillId="0" borderId="69" xfId="0" applyFont="1" applyBorder="1" applyAlignment="1" applyProtection="1">
      <alignment horizontal="center"/>
    </xf>
    <xf numFmtId="0" fontId="17" fillId="0" borderId="0" xfId="38"/>
    <xf numFmtId="0" fontId="0" fillId="0" borderId="0" xfId="0" applyProtection="1">
      <protection locked="0"/>
    </xf>
    <xf numFmtId="0" fontId="10" fillId="0" borderId="11" xfId="0" applyNumberFormat="1" applyFont="1" applyFill="1" applyBorder="1" applyAlignment="1">
      <alignment horizontal="left" indent="2"/>
    </xf>
    <xf numFmtId="0" fontId="7" fillId="0" borderId="22" xfId="0" applyNumberFormat="1" applyFont="1" applyFill="1" applyBorder="1"/>
    <xf numFmtId="0" fontId="7" fillId="0" borderId="11" xfId="0" applyNumberFormat="1" applyFont="1" applyFill="1" applyBorder="1" applyAlignment="1">
      <alignment horizontal="left" indent="1"/>
    </xf>
    <xf numFmtId="171" fontId="7" fillId="0" borderId="30" xfId="0" applyNumberFormat="1" applyFont="1" applyBorder="1" applyAlignment="1">
      <alignment vertical="top"/>
    </xf>
    <xf numFmtId="171" fontId="7" fillId="0" borderId="29" xfId="0" applyNumberFormat="1" applyFont="1" applyBorder="1" applyAlignment="1">
      <alignment vertical="top"/>
    </xf>
    <xf numFmtId="171" fontId="7" fillId="0" borderId="49" xfId="0" applyNumberFormat="1" applyFont="1" applyBorder="1" applyAlignment="1">
      <alignment vertical="top"/>
    </xf>
    <xf numFmtId="0" fontId="0" fillId="0" borderId="0" xfId="0" applyProtection="1"/>
    <xf numFmtId="0" fontId="13" fillId="0" borderId="0" xfId="0" applyFont="1" applyProtection="1"/>
    <xf numFmtId="171" fontId="7" fillId="0" borderId="20" xfId="0" applyNumberFormat="1" applyFont="1" applyFill="1" applyBorder="1" applyProtection="1"/>
    <xf numFmtId="171" fontId="7" fillId="0" borderId="42" xfId="0" applyNumberFormat="1" applyFont="1" applyFill="1" applyBorder="1" applyProtection="1"/>
    <xf numFmtId="171" fontId="7" fillId="0" borderId="21" xfId="0" applyNumberFormat="1" applyFont="1" applyFill="1" applyBorder="1" applyProtection="1"/>
    <xf numFmtId="0" fontId="11" fillId="0" borderId="0" xfId="0" applyNumberFormat="1" applyFont="1" applyBorder="1" applyProtection="1"/>
    <xf numFmtId="0" fontId="10" fillId="0" borderId="0" xfId="0" applyNumberFormat="1" applyFont="1" applyProtection="1"/>
    <xf numFmtId="171" fontId="6" fillId="0" borderId="29" xfId="0" applyNumberFormat="1" applyFont="1" applyFill="1" applyBorder="1" applyProtection="1"/>
    <xf numFmtId="171" fontId="6" fillId="0" borderId="46" xfId="0" applyNumberFormat="1" applyFont="1" applyFill="1" applyBorder="1" applyProtection="1"/>
    <xf numFmtId="171" fontId="6" fillId="0" borderId="30" xfId="0" applyNumberFormat="1" applyFont="1" applyFill="1" applyBorder="1" applyProtection="1"/>
    <xf numFmtId="171" fontId="6" fillId="0" borderId="49" xfId="0" applyNumberFormat="1" applyFont="1" applyFill="1" applyBorder="1" applyProtection="1"/>
    <xf numFmtId="171" fontId="6" fillId="0" borderId="70" xfId="0" applyNumberFormat="1" applyFont="1" applyFill="1" applyBorder="1" applyProtection="1"/>
    <xf numFmtId="171" fontId="6" fillId="0" borderId="20" xfId="0" applyNumberFormat="1" applyFont="1" applyFill="1" applyBorder="1" applyProtection="1"/>
    <xf numFmtId="171" fontId="6" fillId="0" borderId="31" xfId="0" applyNumberFormat="1" applyFont="1" applyFill="1" applyBorder="1" applyProtection="1"/>
    <xf numFmtId="171" fontId="6" fillId="0" borderId="21" xfId="0" applyNumberFormat="1" applyFont="1" applyFill="1" applyBorder="1" applyProtection="1"/>
    <xf numFmtId="171" fontId="6" fillId="0" borderId="42" xfId="0" applyNumberFormat="1" applyFont="1" applyFill="1" applyBorder="1" applyProtection="1"/>
    <xf numFmtId="171" fontId="6" fillId="0" borderId="54" xfId="0" applyNumberFormat="1" applyFont="1" applyFill="1" applyBorder="1" applyProtection="1"/>
    <xf numFmtId="0" fontId="2" fillId="25" borderId="18" xfId="0" applyFont="1" applyFill="1" applyBorder="1" applyProtection="1">
      <protection locked="0"/>
    </xf>
    <xf numFmtId="0" fontId="2" fillId="25" borderId="12" xfId="0" applyFont="1" applyFill="1" applyBorder="1" applyProtection="1">
      <protection locked="0"/>
    </xf>
    <xf numFmtId="0" fontId="0" fillId="25" borderId="0" xfId="0" applyFill="1" applyProtection="1">
      <protection locked="0"/>
    </xf>
    <xf numFmtId="0" fontId="1" fillId="25" borderId="0" xfId="0" applyFont="1" applyFill="1" applyProtection="1">
      <protection locked="0"/>
    </xf>
    <xf numFmtId="17" fontId="2" fillId="25" borderId="67" xfId="0" applyNumberFormat="1" applyFont="1" applyFill="1" applyBorder="1" applyProtection="1">
      <protection locked="0"/>
    </xf>
    <xf numFmtId="0" fontId="2" fillId="25" borderId="67" xfId="0" applyFont="1" applyFill="1" applyBorder="1" applyProtection="1">
      <protection locked="0"/>
    </xf>
    <xf numFmtId="0" fontId="2" fillId="25" borderId="0" xfId="0" quotePrefix="1" applyFont="1" applyFill="1" applyBorder="1" applyProtection="1">
      <protection locked="0"/>
    </xf>
    <xf numFmtId="0" fontId="2" fillId="25" borderId="0" xfId="0" applyFont="1" applyFill="1" applyBorder="1" applyProtection="1">
      <protection locked="0"/>
    </xf>
    <xf numFmtId="0" fontId="10" fillId="25" borderId="11" xfId="0" applyFont="1" applyFill="1" applyBorder="1" applyAlignment="1" applyProtection="1">
      <alignment horizontal="left" indent="1"/>
      <protection locked="0"/>
    </xf>
    <xf numFmtId="9" fontId="6" fillId="25" borderId="0" xfId="41" applyFont="1" applyFill="1" applyBorder="1" applyAlignment="1" applyProtection="1">
      <alignment horizontal="center"/>
      <protection locked="0"/>
    </xf>
    <xf numFmtId="0" fontId="10" fillId="25" borderId="10" xfId="0" applyFont="1" applyFill="1" applyBorder="1" applyAlignment="1" applyProtection="1">
      <alignment horizontal="left" vertical="top" wrapText="1" indent="1"/>
      <protection locked="0"/>
    </xf>
    <xf numFmtId="0" fontId="10" fillId="25" borderId="11" xfId="0" applyFont="1" applyFill="1" applyBorder="1" applyProtection="1">
      <protection locked="0"/>
    </xf>
    <xf numFmtId="0" fontId="7" fillId="0" borderId="10" xfId="0" applyNumberFormat="1" applyFont="1" applyBorder="1" applyAlignment="1">
      <alignment horizontal="left" wrapText="1"/>
    </xf>
    <xf numFmtId="0" fontId="6" fillId="0" borderId="10" xfId="0" applyNumberFormat="1" applyFont="1" applyFill="1" applyBorder="1" applyAlignment="1">
      <alignment horizontal="left" indent="1"/>
    </xf>
    <xf numFmtId="0" fontId="6" fillId="0" borderId="10" xfId="0" applyNumberFormat="1" applyFont="1" applyBorder="1" applyAlignment="1">
      <alignment horizontal="left" vertical="top" indent="1"/>
    </xf>
    <xf numFmtId="0" fontId="6" fillId="0" borderId="0" xfId="0" applyFont="1" applyFill="1"/>
    <xf numFmtId="171" fontId="7" fillId="0" borderId="30" xfId="0" applyNumberFormat="1" applyFont="1" applyFill="1" applyBorder="1"/>
    <xf numFmtId="171" fontId="6" fillId="25" borderId="10" xfId="0" applyNumberFormat="1" applyFont="1" applyFill="1" applyBorder="1" applyProtection="1">
      <protection locked="0"/>
    </xf>
    <xf numFmtId="0" fontId="10" fillId="25" borderId="11" xfId="0" applyFont="1" applyFill="1" applyBorder="1" applyAlignment="1" applyProtection="1">
      <alignment wrapText="1"/>
      <protection locked="0"/>
    </xf>
    <xf numFmtId="168" fontId="7" fillId="29" borderId="24" xfId="0" applyNumberFormat="1" applyFont="1" applyFill="1" applyBorder="1"/>
    <xf numFmtId="168" fontId="7" fillId="29" borderId="23" xfId="0" applyNumberFormat="1" applyFont="1" applyFill="1" applyBorder="1"/>
    <xf numFmtId="168" fontId="7" fillId="29" borderId="51" xfId="0" applyNumberFormat="1" applyFont="1" applyFill="1" applyBorder="1"/>
    <xf numFmtId="171" fontId="6" fillId="25" borderId="49" xfId="0" applyNumberFormat="1" applyFont="1" applyFill="1" applyBorder="1" applyProtection="1">
      <protection locked="0"/>
    </xf>
    <xf numFmtId="0" fontId="6" fillId="29" borderId="23" xfId="0" applyFont="1" applyFill="1" applyBorder="1" applyAlignment="1">
      <alignment horizontal="center"/>
    </xf>
    <xf numFmtId="9" fontId="6" fillId="29" borderId="21" xfId="0" applyNumberFormat="1" applyFont="1" applyFill="1" applyBorder="1" applyAlignment="1">
      <alignment horizontal="center" vertical="top" wrapText="1"/>
    </xf>
    <xf numFmtId="0" fontId="7" fillId="29" borderId="65" xfId="0" applyFont="1" applyFill="1" applyBorder="1" applyAlignment="1">
      <alignment horizontal="center"/>
    </xf>
    <xf numFmtId="0" fontId="7" fillId="29" borderId="23" xfId="0" applyFont="1" applyFill="1" applyBorder="1" applyAlignment="1">
      <alignment horizontal="center"/>
    </xf>
    <xf numFmtId="0" fontId="7" fillId="29" borderId="51" xfId="0" applyFont="1" applyFill="1" applyBorder="1" applyAlignment="1">
      <alignment horizontal="center"/>
    </xf>
    <xf numFmtId="171" fontId="7" fillId="0" borderId="32" xfId="0" applyNumberFormat="1" applyFont="1" applyBorder="1" applyProtection="1"/>
    <xf numFmtId="0" fontId="37" fillId="0" borderId="0" xfId="0" applyFont="1" applyAlignment="1">
      <alignment wrapText="1"/>
    </xf>
    <xf numFmtId="0" fontId="38" fillId="0" borderId="0" xfId="0" applyFont="1" applyProtection="1"/>
    <xf numFmtId="171" fontId="7" fillId="29" borderId="51" xfId="0" applyNumberFormat="1" applyFont="1" applyFill="1" applyBorder="1"/>
    <xf numFmtId="0" fontId="38" fillId="0" borderId="0" xfId="0" applyFont="1"/>
    <xf numFmtId="0" fontId="10" fillId="30" borderId="47" xfId="0" applyFont="1" applyFill="1" applyBorder="1" applyAlignment="1" applyProtection="1">
      <alignment horizontal="left" wrapText="1"/>
      <protection locked="0"/>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66" xfId="0" applyFont="1" applyFill="1" applyBorder="1" applyAlignment="1">
      <alignment vertical="center"/>
    </xf>
    <xf numFmtId="0" fontId="7" fillId="0" borderId="41" xfId="0" applyFont="1" applyFill="1" applyBorder="1" applyAlignment="1">
      <alignment vertical="center"/>
    </xf>
    <xf numFmtId="0" fontId="6" fillId="0" borderId="42" xfId="0" applyFont="1" applyBorder="1" applyAlignment="1">
      <alignment horizontal="center"/>
    </xf>
    <xf numFmtId="0" fontId="6" fillId="0" borderId="20" xfId="0" applyNumberFormat="1" applyFont="1" applyFill="1" applyBorder="1" applyAlignment="1">
      <alignment horizontal="center"/>
    </xf>
    <xf numFmtId="0" fontId="6" fillId="0" borderId="51" xfId="0" applyFont="1" applyBorder="1" applyAlignment="1">
      <alignment horizontal="center"/>
    </xf>
    <xf numFmtId="0" fontId="6" fillId="0" borderId="73" xfId="0" applyFont="1" applyBorder="1" applyAlignment="1">
      <alignment horizontal="center"/>
    </xf>
    <xf numFmtId="0" fontId="6" fillId="0" borderId="41" xfId="0" applyFont="1" applyBorder="1" applyAlignment="1">
      <alignment horizontal="center"/>
    </xf>
    <xf numFmtId="0" fontId="6" fillId="0" borderId="49" xfId="0" applyFont="1" applyBorder="1" applyAlignment="1">
      <alignment horizontal="center"/>
    </xf>
    <xf numFmtId="171" fontId="7" fillId="0" borderId="24" xfId="0" applyNumberFormat="1" applyFont="1" applyFill="1" applyBorder="1"/>
    <xf numFmtId="171" fontId="7" fillId="0" borderId="23" xfId="0" applyNumberFormat="1" applyFont="1" applyFill="1" applyBorder="1"/>
    <xf numFmtId="171" fontId="7" fillId="0" borderId="51" xfId="0" applyNumberFormat="1" applyFont="1" applyFill="1" applyBorder="1"/>
    <xf numFmtId="171" fontId="6" fillId="31" borderId="10" xfId="0" applyNumberFormat="1" applyFont="1" applyFill="1" applyBorder="1"/>
    <xf numFmtId="43" fontId="6" fillId="0" borderId="0" xfId="28" applyFont="1" applyBorder="1" applyProtection="1"/>
    <xf numFmtId="171" fontId="6" fillId="0" borderId="58" xfId="0" applyNumberFormat="1" applyFont="1" applyBorder="1"/>
    <xf numFmtId="171" fontId="6" fillId="0" borderId="59" xfId="0" applyNumberFormat="1" applyFont="1" applyBorder="1"/>
    <xf numFmtId="171" fontId="6" fillId="0" borderId="63" xfId="0" applyNumberFormat="1" applyFont="1" applyBorder="1"/>
    <xf numFmtId="171" fontId="6" fillId="0" borderId="58" xfId="0" applyNumberFormat="1" applyFont="1" applyFill="1" applyBorder="1"/>
    <xf numFmtId="171" fontId="6" fillId="0" borderId="63" xfId="0" applyNumberFormat="1" applyFont="1" applyFill="1" applyBorder="1"/>
    <xf numFmtId="171" fontId="6" fillId="0" borderId="31" xfId="0" applyNumberFormat="1" applyFont="1" applyFill="1" applyBorder="1"/>
    <xf numFmtId="171" fontId="6" fillId="0" borderId="59" xfId="0" applyNumberFormat="1" applyFont="1" applyFill="1" applyBorder="1"/>
    <xf numFmtId="0" fontId="11" fillId="0" borderId="0" xfId="0" applyFont="1" applyFill="1" applyBorder="1" applyProtection="1"/>
    <xf numFmtId="0" fontId="8" fillId="0" borderId="0" xfId="0" applyFont="1" applyFill="1" applyBorder="1" applyAlignment="1" applyProtection="1">
      <alignment horizontal="center"/>
    </xf>
    <xf numFmtId="171" fontId="10" fillId="0" borderId="0" xfId="0" applyNumberFormat="1" applyFont="1" applyFill="1" applyBorder="1" applyProtection="1"/>
    <xf numFmtId="168" fontId="7" fillId="0" borderId="0" xfId="0" applyNumberFormat="1" applyFont="1" applyFill="1" applyBorder="1" applyProtection="1"/>
    <xf numFmtId="0" fontId="10" fillId="0" borderId="0" xfId="0" applyFont="1" applyFill="1" applyBorder="1" applyProtection="1"/>
    <xf numFmtId="171" fontId="10" fillId="0" borderId="0" xfId="0" applyNumberFormat="1" applyFont="1" applyFill="1" applyBorder="1" applyProtection="1">
      <protection locked="0"/>
    </xf>
    <xf numFmtId="0" fontId="10" fillId="0" borderId="0" xfId="0" applyFont="1" applyFill="1" applyBorder="1" applyAlignment="1" applyProtection="1">
      <alignment horizontal="center"/>
    </xf>
    <xf numFmtId="168" fontId="6" fillId="0" borderId="0" xfId="0" applyNumberFormat="1" applyFont="1" applyFill="1" applyBorder="1" applyProtection="1"/>
    <xf numFmtId="0" fontId="10" fillId="0" borderId="0" xfId="0" applyNumberFormat="1" applyFont="1" applyFill="1" applyBorder="1" applyProtection="1"/>
    <xf numFmtId="0" fontId="6" fillId="0" borderId="53" xfId="0" applyFont="1" applyFill="1" applyBorder="1" applyAlignment="1">
      <alignment horizontal="left" indent="1"/>
    </xf>
    <xf numFmtId="0" fontId="40" fillId="0" borderId="0" xfId="0" applyFont="1" applyAlignment="1">
      <alignment wrapText="1"/>
    </xf>
    <xf numFmtId="0" fontId="0" fillId="0" borderId="0" xfId="0" applyFill="1"/>
    <xf numFmtId="0" fontId="39" fillId="0" borderId="0" xfId="0" applyFont="1"/>
    <xf numFmtId="0" fontId="39" fillId="0" borderId="0" xfId="0" applyFont="1" applyFill="1"/>
    <xf numFmtId="0" fontId="39" fillId="31" borderId="0" xfId="0" applyFont="1" applyFill="1"/>
    <xf numFmtId="0" fontId="6" fillId="0" borderId="11" xfId="0" applyNumberFormat="1" applyFont="1" applyBorder="1" applyAlignment="1">
      <alignment horizontal="left" wrapText="1" indent="1"/>
    </xf>
    <xf numFmtId="0" fontId="6" fillId="0" borderId="0" xfId="0" applyFont="1" applyFill="1" applyAlignment="1"/>
    <xf numFmtId="171" fontId="6" fillId="30" borderId="20" xfId="0" applyNumberFormat="1" applyFont="1" applyFill="1" applyBorder="1" applyProtection="1">
      <protection locked="0"/>
    </xf>
    <xf numFmtId="171" fontId="6" fillId="30" borderId="12" xfId="0" applyNumberFormat="1" applyFont="1" applyFill="1" applyBorder="1" applyProtection="1">
      <protection locked="0"/>
    </xf>
    <xf numFmtId="171" fontId="6" fillId="30" borderId="11" xfId="0" applyNumberFormat="1" applyFont="1" applyFill="1" applyBorder="1" applyProtection="1">
      <protection locked="0"/>
    </xf>
    <xf numFmtId="171" fontId="6" fillId="30" borderId="0" xfId="0" applyNumberFormat="1" applyFont="1" applyFill="1" applyBorder="1" applyProtection="1">
      <protection locked="0"/>
    </xf>
    <xf numFmtId="0" fontId="6" fillId="0" borderId="0" xfId="0" applyFont="1" applyFill="1" applyAlignment="1">
      <alignment wrapText="1"/>
    </xf>
    <xf numFmtId="171" fontId="6" fillId="30" borderId="31" xfId="0" applyNumberFormat="1" applyFont="1" applyFill="1" applyBorder="1" applyProtection="1">
      <protection locked="0"/>
    </xf>
    <xf numFmtId="171" fontId="6" fillId="30" borderId="21" xfId="0" applyNumberFormat="1" applyFont="1" applyFill="1" applyBorder="1" applyProtection="1">
      <protection locked="0"/>
    </xf>
    <xf numFmtId="171" fontId="6" fillId="30" borderId="42" xfId="0" applyNumberFormat="1" applyFont="1" applyFill="1" applyBorder="1" applyProtection="1">
      <protection locked="0"/>
    </xf>
    <xf numFmtId="171" fontId="6" fillId="30" borderId="54" xfId="0" applyNumberFormat="1" applyFont="1" applyFill="1" applyBorder="1" applyProtection="1">
      <protection locked="0"/>
    </xf>
    <xf numFmtId="171" fontId="6" fillId="0" borderId="0" xfId="0" applyNumberFormat="1" applyFont="1" applyFill="1" applyProtection="1">
      <protection locked="0"/>
    </xf>
    <xf numFmtId="171" fontId="7" fillId="30" borderId="29" xfId="0" applyNumberFormat="1" applyFont="1" applyFill="1" applyBorder="1" applyProtection="1">
      <protection locked="0"/>
    </xf>
    <xf numFmtId="171" fontId="7" fillId="30" borderId="74" xfId="0" applyNumberFormat="1" applyFont="1" applyFill="1" applyBorder="1" applyProtection="1">
      <protection locked="0"/>
    </xf>
    <xf numFmtId="171" fontId="7" fillId="30" borderId="68" xfId="0" applyNumberFormat="1" applyFont="1" applyFill="1" applyBorder="1" applyProtection="1">
      <protection locked="0"/>
    </xf>
    <xf numFmtId="171" fontId="7" fillId="30" borderId="61" xfId="0" applyNumberFormat="1" applyFont="1" applyFill="1" applyBorder="1" applyProtection="1">
      <protection locked="0"/>
    </xf>
    <xf numFmtId="171" fontId="7" fillId="30" borderId="20" xfId="0" applyNumberFormat="1" applyFont="1" applyFill="1" applyBorder="1" applyProtection="1">
      <protection locked="0"/>
    </xf>
    <xf numFmtId="171" fontId="7" fillId="30" borderId="12" xfId="0" applyNumberFormat="1" applyFont="1" applyFill="1" applyBorder="1" applyProtection="1">
      <protection locked="0"/>
    </xf>
    <xf numFmtId="171" fontId="7" fillId="30" borderId="11" xfId="0" applyNumberFormat="1" applyFont="1" applyFill="1" applyBorder="1" applyProtection="1">
      <protection locked="0"/>
    </xf>
    <xf numFmtId="171" fontId="7" fillId="30" borderId="0" xfId="0" applyNumberFormat="1" applyFont="1" applyFill="1" applyBorder="1" applyProtection="1">
      <protection locked="0"/>
    </xf>
    <xf numFmtId="0" fontId="6" fillId="0" borderId="11" xfId="0" applyNumberFormat="1" applyFont="1" applyFill="1" applyBorder="1"/>
    <xf numFmtId="0" fontId="9" fillId="0" borderId="11" xfId="0" applyNumberFormat="1" applyFont="1" applyFill="1" applyBorder="1"/>
    <xf numFmtId="171" fontId="6" fillId="30" borderId="29" xfId="0" applyNumberFormat="1" applyFont="1" applyFill="1" applyBorder="1" applyProtection="1">
      <protection locked="0"/>
    </xf>
    <xf numFmtId="171" fontId="6" fillId="30" borderId="74" xfId="0" applyNumberFormat="1" applyFont="1" applyFill="1" applyBorder="1" applyProtection="1">
      <protection locked="0"/>
    </xf>
    <xf numFmtId="171" fontId="6" fillId="30" borderId="68" xfId="0" applyNumberFormat="1" applyFont="1" applyFill="1" applyBorder="1" applyProtection="1">
      <protection locked="0"/>
    </xf>
    <xf numFmtId="171" fontId="6" fillId="30" borderId="61" xfId="0" applyNumberFormat="1" applyFont="1" applyFill="1" applyBorder="1" applyProtection="1">
      <protection locked="0"/>
    </xf>
    <xf numFmtId="0" fontId="7" fillId="0" borderId="22" xfId="0" applyNumberFormat="1" applyFont="1" applyBorder="1"/>
    <xf numFmtId="0" fontId="6" fillId="0" borderId="23" xfId="0" applyNumberFormat="1" applyFont="1" applyBorder="1" applyAlignment="1">
      <alignment horizontal="center"/>
    </xf>
    <xf numFmtId="171" fontId="7" fillId="0" borderId="75" xfId="0" applyNumberFormat="1" applyFont="1" applyBorder="1"/>
    <xf numFmtId="171" fontId="7" fillId="0" borderId="22" xfId="0" applyNumberFormat="1" applyFont="1" applyBorder="1"/>
    <xf numFmtId="171" fontId="7" fillId="0" borderId="65" xfId="0" applyNumberFormat="1" applyFont="1" applyBorder="1"/>
    <xf numFmtId="0" fontId="6" fillId="0" borderId="31" xfId="0" applyNumberFormat="1" applyFont="1" applyBorder="1" applyAlignment="1">
      <alignment horizontal="center"/>
    </xf>
    <xf numFmtId="0" fontId="9" fillId="0" borderId="66" xfId="0" applyNumberFormat="1" applyFont="1" applyBorder="1"/>
    <xf numFmtId="0" fontId="38" fillId="0" borderId="11" xfId="0" applyFont="1" applyBorder="1" applyAlignment="1">
      <alignment horizontal="center"/>
    </xf>
    <xf numFmtId="0" fontId="38" fillId="0" borderId="12" xfId="0" applyFont="1" applyBorder="1" applyAlignment="1">
      <alignment horizontal="center"/>
    </xf>
    <xf numFmtId="171" fontId="6" fillId="0" borderId="0" xfId="0" applyNumberFormat="1" applyFont="1" applyFill="1" applyBorder="1" applyProtection="1"/>
    <xf numFmtId="0" fontId="6" fillId="0" borderId="14" xfId="0" applyFont="1" applyBorder="1" applyAlignment="1">
      <alignment horizontal="center"/>
    </xf>
    <xf numFmtId="171" fontId="6" fillId="0" borderId="34" xfId="0" applyNumberFormat="1" applyFont="1" applyFill="1" applyBorder="1"/>
    <xf numFmtId="171" fontId="6" fillId="0" borderId="33" xfId="0" applyNumberFormat="1" applyFont="1" applyFill="1" applyBorder="1"/>
    <xf numFmtId="171" fontId="6" fillId="0" borderId="41" xfId="0" applyNumberFormat="1" applyFont="1" applyFill="1" applyBorder="1"/>
    <xf numFmtId="171" fontId="6" fillId="0" borderId="76" xfId="0" applyNumberFormat="1" applyFont="1" applyBorder="1"/>
    <xf numFmtId="171" fontId="6" fillId="0" borderId="57" xfId="0" applyNumberFormat="1" applyFont="1" applyBorder="1"/>
    <xf numFmtId="171" fontId="6" fillId="0" borderId="62" xfId="0" applyNumberFormat="1" applyFont="1" applyBorder="1"/>
    <xf numFmtId="0" fontId="3" fillId="28" borderId="77" xfId="0" applyFont="1" applyFill="1" applyBorder="1" applyAlignment="1">
      <alignment horizontal="center"/>
    </xf>
    <xf numFmtId="0" fontId="3" fillId="28" borderId="78" xfId="0" applyFont="1" applyFill="1" applyBorder="1" applyAlignment="1">
      <alignment horizontal="center"/>
    </xf>
    <xf numFmtId="0" fontId="3" fillId="28" borderId="17" xfId="0" applyFont="1" applyFill="1" applyBorder="1" applyAlignment="1">
      <alignment horizontal="center"/>
    </xf>
    <xf numFmtId="0" fontId="3" fillId="24" borderId="77" xfId="0" applyFont="1" applyFill="1" applyBorder="1" applyAlignment="1">
      <alignment horizontal="center"/>
    </xf>
    <xf numFmtId="0" fontId="3" fillId="24" borderId="17" xfId="0" applyFont="1" applyFill="1" applyBorder="1" applyAlignment="1">
      <alignment horizontal="center"/>
    </xf>
    <xf numFmtId="0" fontId="7" fillId="0" borderId="79"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10" fillId="0" borderId="0" xfId="0" quotePrefix="1" applyFont="1" applyBorder="1" applyAlignment="1" applyProtection="1">
      <alignment horizontal="left"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0" fontId="7" fillId="0" borderId="3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49" xfId="0" applyFont="1" applyFill="1" applyBorder="1" applyAlignment="1">
      <alignment horizontal="center" vertical="center" wrapText="1"/>
    </xf>
    <xf numFmtId="0" fontId="7" fillId="0" borderId="63" xfId="0" applyFont="1" applyFill="1" applyBorder="1" applyAlignment="1">
      <alignment horizontal="center" vertical="center" wrapText="1"/>
    </xf>
    <xf numFmtId="9" fontId="7" fillId="0" borderId="30" xfId="41" applyFont="1" applyFill="1" applyBorder="1" applyAlignment="1">
      <alignment horizontal="center" vertical="center" wrapText="1"/>
    </xf>
    <xf numFmtId="9" fontId="7" fillId="0" borderId="58" xfId="41"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59" xfId="41" applyFont="1" applyFill="1" applyBorder="1" applyAlignment="1">
      <alignment horizontal="center" vertical="center" wrapText="1"/>
    </xf>
    <xf numFmtId="0" fontId="7" fillId="0" borderId="6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6" fillId="0" borderId="58" xfId="0" applyFont="1" applyBorder="1" applyAlignment="1">
      <alignment horizontal="center" vertical="center" wrapText="1"/>
    </xf>
    <xf numFmtId="0" fontId="7" fillId="0" borderId="64" xfId="0" applyFont="1" applyFill="1" applyBorder="1" applyAlignment="1">
      <alignment horizontal="center" vertical="center" wrapText="1"/>
    </xf>
    <xf numFmtId="0" fontId="7" fillId="0" borderId="79"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9" fontId="7" fillId="0" borderId="21"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42" xfId="0" applyFont="1" applyFill="1" applyBorder="1" applyAlignment="1">
      <alignment horizontal="center" vertical="center" wrapText="1"/>
    </xf>
    <xf numFmtId="9" fontId="7" fillId="0" borderId="34" xfId="41" applyFont="1" applyFill="1" applyBorder="1" applyAlignment="1">
      <alignment horizontal="center" vertical="center" wrapText="1"/>
    </xf>
    <xf numFmtId="9" fontId="7" fillId="0" borderId="42" xfId="41" applyFont="1" applyFill="1" applyBorder="1" applyAlignment="1">
      <alignment horizontal="center" vertical="center" wrapText="1"/>
    </xf>
    <xf numFmtId="9" fontId="7" fillId="0" borderId="63" xfId="41" applyFont="1" applyFill="1" applyBorder="1" applyAlignment="1">
      <alignment horizontal="center" vertical="center" wrapText="1"/>
    </xf>
    <xf numFmtId="9" fontId="7" fillId="0" borderId="33" xfId="4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46" xfId="0" applyFont="1" applyFill="1" applyBorder="1" applyAlignment="1">
      <alignment horizontal="center" vertical="center" wrapText="1"/>
    </xf>
    <xf numFmtId="9" fontId="7" fillId="0" borderId="46" xfId="41" applyFont="1" applyFill="1" applyBorder="1" applyAlignment="1">
      <alignment horizontal="center" vertical="center" wrapText="1"/>
    </xf>
    <xf numFmtId="9" fontId="7" fillId="0" borderId="60" xfId="41" applyFont="1" applyFill="1" applyBorder="1" applyAlignment="1">
      <alignment horizontal="center" vertical="center" wrapText="1"/>
    </xf>
    <xf numFmtId="9" fontId="7" fillId="0" borderId="69" xfId="41" applyFont="1" applyFill="1" applyBorder="1" applyAlignment="1">
      <alignment horizontal="center" vertical="center" wrapText="1"/>
    </xf>
    <xf numFmtId="9" fontId="7" fillId="0" borderId="53" xfId="41" applyFont="1" applyFill="1" applyBorder="1" applyAlignment="1">
      <alignment horizontal="center" vertical="center" wrapText="1"/>
    </xf>
    <xf numFmtId="0" fontId="7" fillId="0" borderId="33" xfId="0" applyFont="1" applyFill="1" applyBorder="1" applyAlignment="1">
      <alignment horizontal="center" vertical="top" wrapText="1"/>
    </xf>
    <xf numFmtId="0" fontId="7" fillId="0" borderId="20" xfId="0" applyFont="1" applyFill="1" applyBorder="1" applyAlignment="1">
      <alignment horizontal="center" vertical="top" wrapText="1"/>
    </xf>
    <xf numFmtId="0" fontId="7" fillId="0" borderId="59" xfId="0" applyFont="1" applyFill="1" applyBorder="1" applyAlignment="1">
      <alignment horizontal="center" vertical="top" wrapText="1"/>
    </xf>
    <xf numFmtId="0" fontId="7" fillId="0" borderId="41" xfId="0" applyFont="1" applyFill="1" applyBorder="1" applyAlignment="1">
      <alignment horizontal="center" vertical="top" wrapText="1"/>
    </xf>
    <xf numFmtId="0" fontId="7" fillId="0" borderId="42" xfId="0" applyFont="1" applyFill="1" applyBorder="1" applyAlignment="1">
      <alignment horizontal="center" vertical="top" wrapText="1"/>
    </xf>
    <xf numFmtId="0" fontId="7" fillId="0" borderId="63" xfId="0" applyFont="1" applyFill="1" applyBorder="1" applyAlignment="1">
      <alignment horizontal="center" vertical="top" wrapText="1"/>
    </xf>
    <xf numFmtId="0" fontId="7" fillId="0" borderId="34" xfId="0" applyFont="1" applyFill="1" applyBorder="1" applyAlignment="1">
      <alignment horizontal="center" vertical="center" wrapText="1"/>
    </xf>
    <xf numFmtId="0" fontId="7" fillId="0" borderId="21" xfId="0" applyFont="1" applyFill="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_Final cover - LG Reporting" xfId="38"/>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activeX/activeX8.xml><?xml version="1.0" encoding="utf-8"?>
<ax:ocx xmlns:ax="http://schemas.microsoft.com/office/2006/activeX" xmlns:r="http://schemas.openxmlformats.org/officeDocument/2006/relationships" ax:classid="{8BD21D60-EC42-11CE-9E0D-00AA006002F3}" ax:persistence="persistStreamInit" r:id="rId1"/>
</file>

<file path=xl/ctrlProps/ctrlProp1.xml><?xml version="1.0" encoding="utf-8"?>
<formControlPr xmlns="http://schemas.microsoft.com/office/spreadsheetml/2009/9/main" objectType="Drop" dropLines="6" dropStyle="combo" dx="22" fmlaLink="$X$33" fmlaRange="$X$17:$X$31" noThreeD="1" sel="11" val="9"/>
</file>

<file path=xl/ctrlProps/ctrlProp2.xml><?xml version="1.0" encoding="utf-8"?>
<formControlPr xmlns="http://schemas.microsoft.com/office/spreadsheetml/2009/9/main" objectType="Drop" dropLines="10" dropStyle="combo" dx="22" fmlaLink="'Lookup and lists'!$B$27" fmlaRange="'Lookup and lists'!$B$29:$B$286" noThreeD="1" sel="131" val="130"/>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66675</xdr:colOff>
      <xdr:row>39</xdr:row>
      <xdr:rowOff>95250</xdr:rowOff>
    </xdr:to>
    <xdr:grpSp>
      <xdr:nvGrpSpPr>
        <xdr:cNvPr id="25641" name="Group 11">
          <a:extLst>
            <a:ext uri="{FF2B5EF4-FFF2-40B4-BE49-F238E27FC236}">
              <a16:creationId xmlns="" xmlns:a16="http://schemas.microsoft.com/office/drawing/2014/main" id="{00000000-0008-0000-0000-000029640000}"/>
            </a:ext>
          </a:extLst>
        </xdr:cNvPr>
        <xdr:cNvGrpSpPr>
          <a:grpSpLocks/>
        </xdr:cNvGrpSpPr>
      </xdr:nvGrpSpPr>
      <xdr:grpSpPr bwMode="auto">
        <a:xfrm>
          <a:off x="0" y="9525"/>
          <a:ext cx="7582766" cy="6502111"/>
          <a:chOff x="0" y="1"/>
          <a:chExt cx="791" cy="672"/>
        </a:xfrm>
      </xdr:grpSpPr>
      <xdr:grpSp>
        <xdr:nvGrpSpPr>
          <xdr:cNvPr id="25644" name="Group 12">
            <a:extLst>
              <a:ext uri="{FF2B5EF4-FFF2-40B4-BE49-F238E27FC236}">
                <a16:creationId xmlns="" xmlns:a16="http://schemas.microsoft.com/office/drawing/2014/main" id="{00000000-0008-0000-0000-00002C640000}"/>
              </a:ext>
            </a:extLst>
          </xdr:cNvPr>
          <xdr:cNvGrpSpPr>
            <a:grpSpLocks/>
          </xdr:cNvGrpSpPr>
        </xdr:nvGrpSpPr>
        <xdr:grpSpPr bwMode="auto">
          <a:xfrm>
            <a:off x="0" y="1"/>
            <a:ext cx="791" cy="672"/>
            <a:chOff x="12" y="17"/>
            <a:chExt cx="791" cy="672"/>
          </a:xfrm>
        </xdr:grpSpPr>
        <xdr:pic>
          <xdr:nvPicPr>
            <xdr:cNvPr id="25646" name="Picture 13" descr="Untitled-1 copy">
              <a:extLst>
                <a:ext uri="{FF2B5EF4-FFF2-40B4-BE49-F238E27FC236}">
                  <a16:creationId xmlns="" xmlns:a16="http://schemas.microsoft.com/office/drawing/2014/main" id="{00000000-0008-0000-0000-00002E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47" name="Picture 14" descr="1 copy">
              <a:extLst>
                <a:ext uri="{FF2B5EF4-FFF2-40B4-BE49-F238E27FC236}">
                  <a16:creationId xmlns="" xmlns:a16="http://schemas.microsoft.com/office/drawing/2014/main" id="{00000000-0008-0000-0000-00002F6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48" name="Group 15">
              <a:extLst>
                <a:ext uri="{FF2B5EF4-FFF2-40B4-BE49-F238E27FC236}">
                  <a16:creationId xmlns="" xmlns:a16="http://schemas.microsoft.com/office/drawing/2014/main" id="{00000000-0008-0000-0000-000030640000}"/>
                </a:ext>
              </a:extLst>
            </xdr:cNvPr>
            <xdr:cNvGrpSpPr>
              <a:grpSpLocks/>
            </xdr:cNvGrpSpPr>
          </xdr:nvGrpSpPr>
          <xdr:grpSpPr bwMode="auto">
            <a:xfrm>
              <a:off x="416" y="255"/>
              <a:ext cx="367" cy="413"/>
              <a:chOff x="416" y="255"/>
              <a:chExt cx="367" cy="413"/>
            </a:xfrm>
          </xdr:grpSpPr>
          <xdr:pic>
            <xdr:nvPicPr>
              <xdr:cNvPr id="25653" name="Picture 48" descr="Untitled-4-2">
                <a:extLst>
                  <a:ext uri="{FF2B5EF4-FFF2-40B4-BE49-F238E27FC236}">
                    <a16:creationId xmlns="" xmlns:a16="http://schemas.microsoft.com/office/drawing/2014/main" id="{00000000-0008-0000-0000-00003564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54" name="Group 17">
                <a:extLst>
                  <a:ext uri="{FF2B5EF4-FFF2-40B4-BE49-F238E27FC236}">
                    <a16:creationId xmlns="" xmlns:a16="http://schemas.microsoft.com/office/drawing/2014/main" id="{00000000-0008-0000-0000-000036640000}"/>
                  </a:ext>
                </a:extLst>
              </xdr:cNvPr>
              <xdr:cNvGrpSpPr>
                <a:grpSpLocks/>
              </xdr:cNvGrpSpPr>
            </xdr:nvGrpSpPr>
            <xdr:grpSpPr bwMode="auto">
              <a:xfrm>
                <a:off x="432" y="264"/>
                <a:ext cx="286" cy="128"/>
                <a:chOff x="426" y="263"/>
                <a:chExt cx="290" cy="130"/>
              </a:xfrm>
            </xdr:grpSpPr>
            <xdr:pic>
              <xdr:nvPicPr>
                <xdr:cNvPr id="25656" name="Picture 52" descr="Letter Head">
                  <a:extLst>
                    <a:ext uri="{FF2B5EF4-FFF2-40B4-BE49-F238E27FC236}">
                      <a16:creationId xmlns="" xmlns:a16="http://schemas.microsoft.com/office/drawing/2014/main" id="{00000000-0008-0000-0000-00003864000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657" name="Line 53">
                  <a:extLst>
                    <a:ext uri="{FF2B5EF4-FFF2-40B4-BE49-F238E27FC236}">
                      <a16:creationId xmlns="" xmlns:a16="http://schemas.microsoft.com/office/drawing/2014/main" id="{00000000-0008-0000-0000-0000396400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092" name="Text Box 20">
                <a:extLst>
                  <a:ext uri="{FF2B5EF4-FFF2-40B4-BE49-F238E27FC236}">
                    <a16:creationId xmlns="" xmlns:a16="http://schemas.microsoft.com/office/drawing/2014/main" id="{00000000-0008-0000-0000-0000140C0000}"/>
                  </a:ext>
                </a:extLst>
              </xdr:cNvPr>
              <xdr:cNvSpPr txBox="1">
                <a:spLocks noChangeArrowheads="1"/>
              </xdr:cNvSpPr>
            </xdr:nvSpPr>
            <xdr:spPr bwMode="auto">
              <a:xfrm>
                <a:off x="434" y="393"/>
                <a:ext cx="334" cy="2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Technical enquiries to the MFMA Helpline at:</a:t>
                </a:r>
              </a:p>
              <a:p>
                <a:pPr algn="l" rtl="0">
                  <a:defRPr sz="1000"/>
                </a:pPr>
                <a:r>
                  <a:rPr lang="en-GB" sz="1000" b="0" i="0" u="none" strike="noStrike" baseline="0">
                    <a:solidFill>
                      <a:srgbClr val="000000"/>
                    </a:solidFill>
                    <a:latin typeface="Calibri"/>
                    <a:cs typeface="Calibri"/>
                  </a:rPr>
                  <a:t>lgdataqueries@treasury.gov.za</a:t>
                </a: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Data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r>
                  <a:rPr lang="en-GB" sz="1000" b="0" i="0" u="none" strike="noStrike" baseline="0">
                    <a:solidFill>
                      <a:srgbClr val="000000"/>
                    </a:solidFill>
                    <a:latin typeface="Calibri"/>
                    <a:cs typeface="Calibri"/>
                  </a:rPr>
                  <a:t>Queries on formats: lgdataqueries@treasury.gov.za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5649" name="Group 21">
              <a:extLst>
                <a:ext uri="{FF2B5EF4-FFF2-40B4-BE49-F238E27FC236}">
                  <a16:creationId xmlns="" xmlns:a16="http://schemas.microsoft.com/office/drawing/2014/main" id="{00000000-0008-0000-0000-000031640000}"/>
                </a:ext>
              </a:extLst>
            </xdr:cNvPr>
            <xdr:cNvGrpSpPr>
              <a:grpSpLocks/>
            </xdr:cNvGrpSpPr>
          </xdr:nvGrpSpPr>
          <xdr:grpSpPr bwMode="auto">
            <a:xfrm>
              <a:off x="76" y="364"/>
              <a:ext cx="289" cy="256"/>
              <a:chOff x="76" y="364"/>
              <a:chExt cx="289" cy="256"/>
            </a:xfrm>
          </xdr:grpSpPr>
          <xdr:pic>
            <xdr:nvPicPr>
              <xdr:cNvPr id="25650" name="Picture 22" descr="J1c">
                <a:extLst>
                  <a:ext uri="{FF2B5EF4-FFF2-40B4-BE49-F238E27FC236}">
                    <a16:creationId xmlns="" xmlns:a16="http://schemas.microsoft.com/office/drawing/2014/main" id="{00000000-0008-0000-0000-00003264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1" name="Picture 23" descr="J1a">
                <a:extLst>
                  <a:ext uri="{FF2B5EF4-FFF2-40B4-BE49-F238E27FC236}">
                    <a16:creationId xmlns="" xmlns:a16="http://schemas.microsoft.com/office/drawing/2014/main" id="{00000000-0008-0000-0000-00003364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2" name="Picture 24" descr="J1b">
                <a:extLst>
                  <a:ext uri="{FF2B5EF4-FFF2-40B4-BE49-F238E27FC236}">
                    <a16:creationId xmlns="" xmlns:a16="http://schemas.microsoft.com/office/drawing/2014/main" id="{00000000-0008-0000-0000-00003464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5645" name="Picture 25" descr="D1 light">
            <a:extLst>
              <a:ext uri="{FF2B5EF4-FFF2-40B4-BE49-F238E27FC236}">
                <a16:creationId xmlns="" xmlns:a16="http://schemas.microsoft.com/office/drawing/2014/main" id="{00000000-0008-0000-0000-00002D64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83820</xdr:colOff>
      <xdr:row>15</xdr:row>
      <xdr:rowOff>148590</xdr:rowOff>
    </xdr:from>
    <xdr:to>
      <xdr:col>4</xdr:col>
      <xdr:colOff>481969</xdr:colOff>
      <xdr:row>19</xdr:row>
      <xdr:rowOff>109</xdr:rowOff>
    </xdr:to>
    <xdr:sp macro="[0]!GoToInstructions" textlink="">
      <xdr:nvSpPr>
        <xdr:cNvPr id="3098" name="Text Box 26">
          <a:extLst>
            <a:ext uri="{FF2B5EF4-FFF2-40B4-BE49-F238E27FC236}">
              <a16:creationId xmlns="" xmlns:a16="http://schemas.microsoft.com/office/drawing/2014/main" id="{00000000-0008-0000-0000-00001A0C0000}"/>
            </a:ext>
          </a:extLst>
        </xdr:cNvPr>
        <xdr:cNvSpPr txBox="1">
          <a:spLocks noChangeArrowheads="1"/>
        </xdr:cNvSpPr>
      </xdr:nvSpPr>
      <xdr:spPr bwMode="auto">
        <a:xfrm>
          <a:off x="619125" y="2581275"/>
          <a:ext cx="20002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twoCellAnchor>
    <xdr:from>
      <xdr:col>11</xdr:col>
      <xdr:colOff>370436</xdr:colOff>
      <xdr:row>11</xdr:row>
      <xdr:rowOff>131445</xdr:rowOff>
    </xdr:from>
    <xdr:to>
      <xdr:col>13</xdr:col>
      <xdr:colOff>443879</xdr:colOff>
      <xdr:row>13</xdr:row>
      <xdr:rowOff>17514</xdr:rowOff>
    </xdr:to>
    <xdr:sp macro="" textlink="">
      <xdr:nvSpPr>
        <xdr:cNvPr id="3099" name="Text Box 27">
          <a:extLst>
            <a:ext uri="{FF2B5EF4-FFF2-40B4-BE49-F238E27FC236}">
              <a16:creationId xmlns="" xmlns:a16="http://schemas.microsoft.com/office/drawing/2014/main" id="{00000000-0008-0000-0000-00001B0C0000}"/>
            </a:ext>
          </a:extLst>
        </xdr:cNvPr>
        <xdr:cNvSpPr txBox="1">
          <a:spLocks noChangeArrowheads="1"/>
        </xdr:cNvSpPr>
      </xdr:nvSpPr>
      <xdr:spPr bwMode="auto">
        <a:xfrm>
          <a:off x="6277841" y="1943100"/>
          <a:ext cx="1139536"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Version 2.8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47625</xdr:rowOff>
    </xdr:from>
    <xdr:to>
      <xdr:col>12</xdr:col>
      <xdr:colOff>219075</xdr:colOff>
      <xdr:row>46</xdr:row>
      <xdr:rowOff>114300</xdr:rowOff>
    </xdr:to>
    <xdr:pic>
      <xdr:nvPicPr>
        <xdr:cNvPr id="26635" name="Picture 3" descr="Untitled-1 copy">
          <a:extLst>
            <a:ext uri="{FF2B5EF4-FFF2-40B4-BE49-F238E27FC236}">
              <a16:creationId xmlns="" xmlns:a16="http://schemas.microsoft.com/office/drawing/2014/main" id="{00000000-0008-0000-0100-00000B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534275" cy="751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28</xdr:row>
      <xdr:rowOff>104775</xdr:rowOff>
    </xdr:from>
    <xdr:to>
      <xdr:col>12</xdr:col>
      <xdr:colOff>123825</xdr:colOff>
      <xdr:row>45</xdr:row>
      <xdr:rowOff>0</xdr:rowOff>
    </xdr:to>
    <xdr:pic>
      <xdr:nvPicPr>
        <xdr:cNvPr id="26636" name="Picture 4" descr="1 copy">
          <a:extLst>
            <a:ext uri="{FF2B5EF4-FFF2-40B4-BE49-F238E27FC236}">
              <a16:creationId xmlns="" xmlns:a16="http://schemas.microsoft.com/office/drawing/2014/main" id="{00000000-0008-0000-0100-00000C6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4638675"/>
          <a:ext cx="7334250" cy="264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a:extLst>
            <a:ext uri="{FF2B5EF4-FFF2-40B4-BE49-F238E27FC236}">
              <a16:creationId xmlns="" xmlns:a16="http://schemas.microsoft.com/office/drawing/2014/main"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7</xdr:row>
      <xdr:rowOff>95250</xdr:rowOff>
    </xdr:from>
    <xdr:to>
      <xdr:col>3</xdr:col>
      <xdr:colOff>381000</xdr:colOff>
      <xdr:row>9</xdr:row>
      <xdr:rowOff>150615</xdr:rowOff>
    </xdr:to>
    <xdr:sp macro="" textlink="">
      <xdr:nvSpPr>
        <xdr:cNvPr id="123923" name="Text Box 19">
          <a:extLst>
            <a:ext uri="{FF2B5EF4-FFF2-40B4-BE49-F238E27FC236}">
              <a16:creationId xmlns="" xmlns:a16="http://schemas.microsoft.com/office/drawing/2014/main" id="{00000000-0008-0000-0100-000013E40100}"/>
            </a:ext>
          </a:extLst>
        </xdr:cNvPr>
        <xdr:cNvSpPr txBox="1">
          <a:spLocks noChangeArrowheads="1"/>
        </xdr:cNvSpPr>
      </xdr:nvSpPr>
      <xdr:spPr bwMode="auto">
        <a:xfrm>
          <a:off x="190500" y="1228725"/>
          <a:ext cx="2019300" cy="3810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Municipal Entity Name:</a:t>
          </a:r>
        </a:p>
      </xdr:txBody>
    </xdr:sp>
    <xdr:clientData/>
  </xdr:twoCellAnchor>
  <xdr:twoCellAnchor>
    <xdr:from>
      <xdr:col>0</xdr:col>
      <xdr:colOff>161925</xdr:colOff>
      <xdr:row>18</xdr:row>
      <xdr:rowOff>19050</xdr:rowOff>
    </xdr:from>
    <xdr:to>
      <xdr:col>5</xdr:col>
      <xdr:colOff>47625</xdr:colOff>
      <xdr:row>21</xdr:row>
      <xdr:rowOff>28575</xdr:rowOff>
    </xdr:to>
    <xdr:sp macro="" textlink="">
      <xdr:nvSpPr>
        <xdr:cNvPr id="123926" name="Text Box 22">
          <a:extLst>
            <a:ext uri="{FF2B5EF4-FFF2-40B4-BE49-F238E27FC236}">
              <a16:creationId xmlns="" xmlns:a16="http://schemas.microsoft.com/office/drawing/2014/main" id="{00000000-0008-0000-0100-000016E40100}"/>
            </a:ext>
          </a:extLst>
        </xdr:cNvPr>
        <xdr:cNvSpPr txBox="1">
          <a:spLocks noChangeArrowheads="1"/>
        </xdr:cNvSpPr>
      </xdr:nvSpPr>
      <xdr:spPr bwMode="auto">
        <a:xfrm>
          <a:off x="161925" y="2352675"/>
          <a:ext cx="2933700" cy="4953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Budget for MTREF starting:</a:t>
          </a:r>
        </a:p>
      </xdr:txBody>
    </xdr:sp>
    <xdr:clientData/>
  </xdr:twoCellAnchor>
  <xdr:twoCellAnchor>
    <xdr:from>
      <xdr:col>7</xdr:col>
      <xdr:colOff>257175</xdr:colOff>
      <xdr:row>18</xdr:row>
      <xdr:rowOff>19050</xdr:rowOff>
    </xdr:from>
    <xdr:to>
      <xdr:col>9</xdr:col>
      <xdr:colOff>476250</xdr:colOff>
      <xdr:row>21</xdr:row>
      <xdr:rowOff>28575</xdr:rowOff>
    </xdr:to>
    <xdr:sp macro="" textlink="">
      <xdr:nvSpPr>
        <xdr:cNvPr id="123928" name="Text Box 24">
          <a:extLst>
            <a:ext uri="{FF2B5EF4-FFF2-40B4-BE49-F238E27FC236}">
              <a16:creationId xmlns="" xmlns:a16="http://schemas.microsoft.com/office/drawing/2014/main" id="{00000000-0008-0000-0100-000018E40100}"/>
            </a:ext>
          </a:extLst>
        </xdr:cNvPr>
        <xdr:cNvSpPr txBox="1">
          <a:spLocks noChangeArrowheads="1"/>
        </xdr:cNvSpPr>
      </xdr:nvSpPr>
      <xdr:spPr bwMode="auto">
        <a:xfrm>
          <a:off x="4524375" y="2352675"/>
          <a:ext cx="1438275"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Budget Year:</a:t>
          </a:r>
        </a:p>
      </xdr:txBody>
    </xdr:sp>
    <xdr:clientData/>
  </xdr:twoCellAnchor>
  <xdr:twoCellAnchor>
    <xdr:from>
      <xdr:col>0</xdr:col>
      <xdr:colOff>200025</xdr:colOff>
      <xdr:row>10</xdr:row>
      <xdr:rowOff>95250</xdr:rowOff>
    </xdr:from>
    <xdr:to>
      <xdr:col>5</xdr:col>
      <xdr:colOff>85725</xdr:colOff>
      <xdr:row>12</xdr:row>
      <xdr:rowOff>66675</xdr:rowOff>
    </xdr:to>
    <xdr:sp macro="" textlink="">
      <xdr:nvSpPr>
        <xdr:cNvPr id="123943" name="Text Box 39">
          <a:extLst>
            <a:ext uri="{FF2B5EF4-FFF2-40B4-BE49-F238E27FC236}">
              <a16:creationId xmlns="" xmlns:a16="http://schemas.microsoft.com/office/drawing/2014/main" id="{00000000-0008-0000-0100-000027E40100}"/>
            </a:ext>
          </a:extLst>
        </xdr:cNvPr>
        <xdr:cNvSpPr txBox="1">
          <a:spLocks noChangeArrowheads="1"/>
        </xdr:cNvSpPr>
      </xdr:nvSpPr>
      <xdr:spPr bwMode="auto">
        <a:xfrm>
          <a:off x="200025" y="1714500"/>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12</xdr:row>
      <xdr:rowOff>150495</xdr:rowOff>
    </xdr:from>
    <xdr:to>
      <xdr:col>5</xdr:col>
      <xdr:colOff>85725</xdr:colOff>
      <xdr:row>14</xdr:row>
      <xdr:rowOff>121920</xdr:rowOff>
    </xdr:to>
    <xdr:sp macro="" textlink="">
      <xdr:nvSpPr>
        <xdr:cNvPr id="123944" name="Text Box 40">
          <a:extLst>
            <a:ext uri="{FF2B5EF4-FFF2-40B4-BE49-F238E27FC236}">
              <a16:creationId xmlns="" xmlns:a16="http://schemas.microsoft.com/office/drawing/2014/main"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15</xdr:row>
      <xdr:rowOff>57150</xdr:rowOff>
    </xdr:from>
    <xdr:to>
      <xdr:col>5</xdr:col>
      <xdr:colOff>95250</xdr:colOff>
      <xdr:row>17</xdr:row>
      <xdr:rowOff>47625</xdr:rowOff>
    </xdr:to>
    <xdr:sp macro="" textlink="">
      <xdr:nvSpPr>
        <xdr:cNvPr id="123945" name="Text Box 41">
          <a:extLst>
            <a:ext uri="{FF2B5EF4-FFF2-40B4-BE49-F238E27FC236}">
              <a16:creationId xmlns="" xmlns:a16="http://schemas.microsoft.com/office/drawing/2014/main"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13</xdr:row>
      <xdr:rowOff>9525</xdr:rowOff>
    </xdr:from>
    <xdr:to>
      <xdr:col>8</xdr:col>
      <xdr:colOff>552450</xdr:colOff>
      <xdr:row>14</xdr:row>
      <xdr:rowOff>142875</xdr:rowOff>
    </xdr:to>
    <xdr:sp macro="" textlink="">
      <xdr:nvSpPr>
        <xdr:cNvPr id="123949" name="Text Box 45">
          <a:extLst>
            <a:ext uri="{FF2B5EF4-FFF2-40B4-BE49-F238E27FC236}">
              <a16:creationId xmlns="" xmlns:a16="http://schemas.microsoft.com/office/drawing/2014/main"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8</xdr:row>
          <xdr:rowOff>19050</xdr:rowOff>
        </xdr:from>
        <xdr:to>
          <xdr:col>8</xdr:col>
          <xdr:colOff>0</xdr:colOff>
          <xdr:row>9</xdr:row>
          <xdr:rowOff>123825</xdr:rowOff>
        </xdr:to>
        <xdr:sp macro="" textlink="">
          <xdr:nvSpPr>
            <xdr:cNvPr id="5137" name="TextBox1" hidden="1">
              <a:extLst>
                <a:ext uri="{63B3BB69-23CF-44E3-9099-C40C66FF867C}">
                  <a14:compatExt spid="_x0000_s5137"/>
                </a:ext>
                <a:ext uri="{FF2B5EF4-FFF2-40B4-BE49-F238E27FC236}">
                  <a16:creationId xmlns="" xmlns:a16="http://schemas.microsoft.com/office/drawing/2014/main" id="{00000000-0008-0000-01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19</xdr:row>
          <xdr:rowOff>28575</xdr:rowOff>
        </xdr:from>
        <xdr:to>
          <xdr:col>6</xdr:col>
          <xdr:colOff>495300</xdr:colOff>
          <xdr:row>20</xdr:row>
          <xdr:rowOff>47625</xdr:rowOff>
        </xdr:to>
        <xdr:sp macro="" textlink="">
          <xdr:nvSpPr>
            <xdr:cNvPr id="5140" name="Drop Down 20" hidden="1">
              <a:extLst>
                <a:ext uri="{63B3BB69-23CF-44E3-9099-C40C66FF867C}">
                  <a14:compatExt spid="_x0000_s5140"/>
                </a:ext>
                <a:ext uri="{FF2B5EF4-FFF2-40B4-BE49-F238E27FC236}">
                  <a16:creationId xmlns="" xmlns:a16="http://schemas.microsoft.com/office/drawing/2014/main" id="{00000000-0008-0000-01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18</xdr:row>
          <xdr:rowOff>123825</xdr:rowOff>
        </xdr:from>
        <xdr:to>
          <xdr:col>11</xdr:col>
          <xdr:colOff>466725</xdr:colOff>
          <xdr:row>20</xdr:row>
          <xdr:rowOff>123825</xdr:rowOff>
        </xdr:to>
        <xdr:pic>
          <xdr:nvPicPr>
            <xdr:cNvPr id="26645" name="TextBox2">
              <a:extLst>
                <a:ext uri="{FF2B5EF4-FFF2-40B4-BE49-F238E27FC236}">
                  <a16:creationId xmlns="" xmlns:a16="http://schemas.microsoft.com/office/drawing/2014/main" id="{00000000-0008-0000-0100-000015680000}"/>
                </a:ext>
              </a:extLst>
            </xdr:cNvPr>
            <xdr:cNvPicPr preferRelativeResize="0">
              <a:picLocks noChangeArrowheads="1" noChangeShapeType="1"/>
              <a:extLst>
                <a:ext uri="{84589F7E-364E-4C9E-8A38-B11213B215E9}">
                  <a14:cameraTool cellRange="FinYear" spid="_x0000_s26770"/>
                </a:ext>
              </a:extLst>
            </xdr:cNvPicPr>
          </xdr:nvPicPr>
          <xdr:blipFill>
            <a:blip xmlns:r="http://schemas.openxmlformats.org/officeDocument/2006/relationships" r:embed="rId3">
              <a:grayscl/>
              <a:biLevel thresh="50000"/>
            </a:blip>
            <a:srcRect/>
            <a:stretch>
              <a:fillRect/>
            </a:stretch>
          </xdr:blipFill>
          <xdr:spPr bwMode="auto">
            <a:xfrm>
              <a:off x="6067425" y="3038475"/>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123825</xdr:rowOff>
        </xdr:from>
        <xdr:to>
          <xdr:col>9</xdr:col>
          <xdr:colOff>371475</xdr:colOff>
          <xdr:row>12</xdr:row>
          <xdr:rowOff>66675</xdr:rowOff>
        </xdr:to>
        <xdr:sp macro="" textlink="">
          <xdr:nvSpPr>
            <xdr:cNvPr id="5142" name="TextBox3" hidden="1">
              <a:extLst>
                <a:ext uri="{63B3BB69-23CF-44E3-9099-C40C66FF867C}">
                  <a14:compatExt spid="_x0000_s5142"/>
                </a:ext>
                <a:ext uri="{FF2B5EF4-FFF2-40B4-BE49-F238E27FC236}">
                  <a16:creationId xmlns="" xmlns:a16="http://schemas.microsoft.com/office/drawing/2014/main" id="{00000000-0008-0000-01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13</xdr:row>
          <xdr:rowOff>47625</xdr:rowOff>
        </xdr:from>
        <xdr:to>
          <xdr:col>7</xdr:col>
          <xdr:colOff>85725</xdr:colOff>
          <xdr:row>14</xdr:row>
          <xdr:rowOff>133350</xdr:rowOff>
        </xdr:to>
        <xdr:sp macro="" textlink="">
          <xdr:nvSpPr>
            <xdr:cNvPr id="5143" name="TextBox4" hidden="1">
              <a:extLst>
                <a:ext uri="{63B3BB69-23CF-44E3-9099-C40C66FF867C}">
                  <a14:compatExt spid="_x0000_s5143"/>
                </a:ext>
                <a:ext uri="{FF2B5EF4-FFF2-40B4-BE49-F238E27FC236}">
                  <a16:creationId xmlns="" xmlns:a16="http://schemas.microsoft.com/office/drawing/2014/main" id="{00000000-0008-0000-01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123825</xdr:rowOff>
        </xdr:from>
        <xdr:to>
          <xdr:col>9</xdr:col>
          <xdr:colOff>400050</xdr:colOff>
          <xdr:row>17</xdr:row>
          <xdr:rowOff>57150</xdr:rowOff>
        </xdr:to>
        <xdr:sp macro="" textlink="">
          <xdr:nvSpPr>
            <xdr:cNvPr id="5144" name="TextBox5" hidden="1">
              <a:extLst>
                <a:ext uri="{63B3BB69-23CF-44E3-9099-C40C66FF867C}">
                  <a14:compatExt spid="_x0000_s5144"/>
                </a:ext>
                <a:ext uri="{FF2B5EF4-FFF2-40B4-BE49-F238E27FC236}">
                  <a16:creationId xmlns="" xmlns:a16="http://schemas.microsoft.com/office/drawing/2014/main" id="{00000000-0008-0000-01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85725</xdr:rowOff>
        </xdr:from>
        <xdr:to>
          <xdr:col>10</xdr:col>
          <xdr:colOff>485775</xdr:colOff>
          <xdr:row>15</xdr:row>
          <xdr:rowOff>28575</xdr:rowOff>
        </xdr:to>
        <xdr:sp macro="" textlink="">
          <xdr:nvSpPr>
            <xdr:cNvPr id="5145" name="TextBox6" hidden="1">
              <a:extLst>
                <a:ext uri="{63B3BB69-23CF-44E3-9099-C40C66FF867C}">
                  <a14:compatExt spid="_x0000_s5145"/>
                </a:ext>
                <a:ext uri="{FF2B5EF4-FFF2-40B4-BE49-F238E27FC236}">
                  <a16:creationId xmlns="" xmlns:a16="http://schemas.microsoft.com/office/drawing/2014/main" id="{00000000-0008-0000-01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34</xdr:row>
          <xdr:rowOff>104775</xdr:rowOff>
        </xdr:from>
        <xdr:to>
          <xdr:col>4</xdr:col>
          <xdr:colOff>85725</xdr:colOff>
          <xdr:row>36</xdr:row>
          <xdr:rowOff>28575</xdr:rowOff>
        </xdr:to>
        <xdr:sp macro="" textlink="">
          <xdr:nvSpPr>
            <xdr:cNvPr id="5146" name="ToggleReferenceColumns" hidden="1">
              <a:extLst>
                <a:ext uri="{63B3BB69-23CF-44E3-9099-C40C66FF867C}">
                  <a14:compatExt spid="_x0000_s5146"/>
                </a:ext>
                <a:ext uri="{FF2B5EF4-FFF2-40B4-BE49-F238E27FC236}">
                  <a16:creationId xmlns="" xmlns:a16="http://schemas.microsoft.com/office/drawing/2014/main" id="{00000000-0008-0000-01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581025</xdr:colOff>
          <xdr:row>36</xdr:row>
          <xdr:rowOff>123825</xdr:rowOff>
        </xdr:from>
        <xdr:to>
          <xdr:col>4</xdr:col>
          <xdr:colOff>85725</xdr:colOff>
          <xdr:row>38</xdr:row>
          <xdr:rowOff>85725</xdr:rowOff>
        </xdr:to>
        <xdr:sp macro="" textlink="">
          <xdr:nvSpPr>
            <xdr:cNvPr id="5147" name="TogglePreAuditColums" hidden="1">
              <a:extLst>
                <a:ext uri="{63B3BB69-23CF-44E3-9099-C40C66FF867C}">
                  <a14:compatExt spid="_x0000_s5147"/>
                </a:ext>
                <a:ext uri="{FF2B5EF4-FFF2-40B4-BE49-F238E27FC236}">
                  <a16:creationId xmlns="" xmlns:a16="http://schemas.microsoft.com/office/drawing/2014/main" id="{00000000-0008-0000-01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29</xdr:row>
          <xdr:rowOff>104775</xdr:rowOff>
        </xdr:from>
        <xdr:to>
          <xdr:col>3</xdr:col>
          <xdr:colOff>238125</xdr:colOff>
          <xdr:row>31</xdr:row>
          <xdr:rowOff>0</xdr:rowOff>
        </xdr:to>
        <xdr:sp macro="" textlink="">
          <xdr:nvSpPr>
            <xdr:cNvPr id="5148" name="ToggleHiddenColumns" hidden="1">
              <a:extLst>
                <a:ext uri="{63B3BB69-23CF-44E3-9099-C40C66FF867C}">
                  <a14:compatExt spid="_x0000_s5148"/>
                </a:ext>
                <a:ext uri="{FF2B5EF4-FFF2-40B4-BE49-F238E27FC236}">
                  <a16:creationId xmlns="" xmlns:a16="http://schemas.microsoft.com/office/drawing/2014/main" id="{00000000-0008-0000-01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238125</xdr:colOff>
      <xdr:row>29</xdr:row>
      <xdr:rowOff>57150</xdr:rowOff>
    </xdr:from>
    <xdr:to>
      <xdr:col>5</xdr:col>
      <xdr:colOff>581025</xdr:colOff>
      <xdr:row>32</xdr:row>
      <xdr:rowOff>66675</xdr:rowOff>
    </xdr:to>
    <xdr:sp macro="" textlink="">
      <xdr:nvSpPr>
        <xdr:cNvPr id="5149" name="Text Box 18">
          <a:extLst>
            <a:ext uri="{FF2B5EF4-FFF2-40B4-BE49-F238E27FC236}">
              <a16:creationId xmlns="" xmlns:a16="http://schemas.microsoft.com/office/drawing/2014/main" id="{00000000-0008-0000-0100-00001D140000}"/>
            </a:ext>
          </a:extLst>
        </xdr:cNvPr>
        <xdr:cNvSpPr txBox="1">
          <a:spLocks noChangeArrowheads="1"/>
        </xdr:cNvSpPr>
      </xdr:nvSpPr>
      <xdr:spPr bwMode="auto">
        <a:xfrm>
          <a:off x="238125" y="4752975"/>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0</xdr:col>
      <xdr:colOff>209550</xdr:colOff>
      <xdr:row>32</xdr:row>
      <xdr:rowOff>66675</xdr:rowOff>
    </xdr:from>
    <xdr:to>
      <xdr:col>4</xdr:col>
      <xdr:colOff>447675</xdr:colOff>
      <xdr:row>34</xdr:row>
      <xdr:rowOff>112480</xdr:rowOff>
    </xdr:to>
    <xdr:sp macro="" textlink="">
      <xdr:nvSpPr>
        <xdr:cNvPr id="5150" name="Text Box 30">
          <a:extLst>
            <a:ext uri="{FF2B5EF4-FFF2-40B4-BE49-F238E27FC236}">
              <a16:creationId xmlns="" xmlns:a16="http://schemas.microsoft.com/office/drawing/2014/main" id="{00000000-0008-0000-0100-00001E140000}"/>
            </a:ext>
          </a:extLst>
        </xdr:cNvPr>
        <xdr:cNvSpPr txBox="1">
          <a:spLocks noChangeArrowheads="1"/>
        </xdr:cNvSpPr>
      </xdr:nvSpPr>
      <xdr:spPr bwMode="auto">
        <a:xfrm>
          <a:off x="209550" y="5248275"/>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133350</xdr:colOff>
      <xdr:row>39</xdr:row>
      <xdr:rowOff>150495</xdr:rowOff>
    </xdr:from>
    <xdr:to>
      <xdr:col>5</xdr:col>
      <xdr:colOff>114300</xdr:colOff>
      <xdr:row>42</xdr:row>
      <xdr:rowOff>38150</xdr:rowOff>
    </xdr:to>
    <xdr:sp macro="" textlink="">
      <xdr:nvSpPr>
        <xdr:cNvPr id="5151" name="Text Box 31">
          <a:extLst>
            <a:ext uri="{FF2B5EF4-FFF2-40B4-BE49-F238E27FC236}">
              <a16:creationId xmlns="" xmlns:a16="http://schemas.microsoft.com/office/drawing/2014/main" id="{00000000-0008-0000-0100-00001F140000}"/>
            </a:ext>
          </a:extLst>
        </xdr:cNvPr>
        <xdr:cNvSpPr txBox="1">
          <a:spLocks noChangeArrowheads="1"/>
        </xdr:cNvSpPr>
      </xdr:nvSpPr>
      <xdr:spPr bwMode="auto">
        <a:xfrm>
          <a:off x="133350" y="6467475"/>
          <a:ext cx="3028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xdr:twoCellAnchor>
    <xdr:from>
      <xdr:col>6</xdr:col>
      <xdr:colOff>228600</xdr:colOff>
      <xdr:row>29</xdr:row>
      <xdr:rowOff>66675</xdr:rowOff>
    </xdr:from>
    <xdr:to>
      <xdr:col>11</xdr:col>
      <xdr:colOff>571500</xdr:colOff>
      <xdr:row>32</xdr:row>
      <xdr:rowOff>76200</xdr:rowOff>
    </xdr:to>
    <xdr:sp macro="" textlink="">
      <xdr:nvSpPr>
        <xdr:cNvPr id="5152" name="Text Box 18">
          <a:extLst>
            <a:ext uri="{FF2B5EF4-FFF2-40B4-BE49-F238E27FC236}">
              <a16:creationId xmlns="" xmlns:a16="http://schemas.microsoft.com/office/drawing/2014/main" id="{00000000-0008-0000-0100-000020140000}"/>
            </a:ext>
          </a:extLst>
        </xdr:cNvPr>
        <xdr:cNvSpPr txBox="1">
          <a:spLocks noChangeArrowheads="1"/>
        </xdr:cNvSpPr>
      </xdr:nvSpPr>
      <xdr:spPr bwMode="auto">
        <a:xfrm>
          <a:off x="3886200" y="4762500"/>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Submission of Data</a:t>
          </a:r>
        </a:p>
      </xdr:txBody>
    </xdr:sp>
    <xdr:clientData/>
  </xdr:twoCellAnchor>
  <xdr:twoCellAnchor>
    <xdr:from>
      <xdr:col>0</xdr:col>
      <xdr:colOff>171450</xdr:colOff>
      <xdr:row>4</xdr:row>
      <xdr:rowOff>57150</xdr:rowOff>
    </xdr:from>
    <xdr:to>
      <xdr:col>3</xdr:col>
      <xdr:colOff>152400</xdr:colOff>
      <xdr:row>6</xdr:row>
      <xdr:rowOff>112515</xdr:rowOff>
    </xdr:to>
    <xdr:sp macro="" textlink="">
      <xdr:nvSpPr>
        <xdr:cNvPr id="2" name="Text Box 19">
          <a:extLst>
            <a:ext uri="{FF2B5EF4-FFF2-40B4-BE49-F238E27FC236}">
              <a16:creationId xmlns="" xmlns:a16="http://schemas.microsoft.com/office/drawing/2014/main" id="{00000000-0008-0000-0100-000002000000}"/>
            </a:ext>
          </a:extLst>
        </xdr:cNvPr>
        <xdr:cNvSpPr txBox="1">
          <a:spLocks noChangeArrowheads="1"/>
        </xdr:cNvSpPr>
      </xdr:nvSpPr>
      <xdr:spPr bwMode="auto">
        <a:xfrm>
          <a:off x="171450" y="704850"/>
          <a:ext cx="180975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5</xdr:row>
          <xdr:rowOff>28575</xdr:rowOff>
        </xdr:from>
        <xdr:to>
          <xdr:col>7</xdr:col>
          <xdr:colOff>600075</xdr:colOff>
          <xdr:row>6</xdr:row>
          <xdr:rowOff>38100</xdr:rowOff>
        </xdr:to>
        <xdr:sp macro="" textlink="">
          <xdr:nvSpPr>
            <xdr:cNvPr id="5156" name="Drop Down 36" hidden="1">
              <a:extLst>
                <a:ext uri="{63B3BB69-23CF-44E3-9099-C40C66FF867C}">
                  <a14:compatExt spid="_x0000_s5156"/>
                </a:ext>
                <a:ext uri="{FF2B5EF4-FFF2-40B4-BE49-F238E27FC236}">
                  <a16:creationId xmlns="" xmlns:a16="http://schemas.microsoft.com/office/drawing/2014/main" id="{00000000-0008-0000-01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685800</xdr:colOff>
          <xdr:row>1</xdr:row>
          <xdr:rowOff>95250</xdr:rowOff>
        </xdr:from>
        <xdr:to>
          <xdr:col>2</xdr:col>
          <xdr:colOff>1885950</xdr:colOff>
          <xdr:row>3</xdr:row>
          <xdr:rowOff>9525</xdr:rowOff>
        </xdr:to>
        <xdr:sp macro="" textlink="">
          <xdr:nvSpPr>
            <xdr:cNvPr id="4097" name="Button 1" hidden="1">
              <a:extLst>
                <a:ext uri="{63B3BB69-23CF-44E3-9099-C40C66FF867C}">
                  <a14:compatExt spid="_x0000_s4097"/>
                </a:ext>
                <a:ext uri="{FF2B5EF4-FFF2-40B4-BE49-F238E27FC236}">
                  <a16:creationId xmlns=""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02.%20Development\00.%20Final%20-%20March%202009\2.%20Formats\1.%20Formats%2029.03.2009\A1%20Schedule%20Municipal%20Budget%20-%2028%20March%202009%20cb%20Ver%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93">
          <cell r="B93">
            <v>0</v>
          </cell>
        </row>
        <row r="94">
          <cell r="B94">
            <v>2</v>
          </cell>
          <cell r="D94">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s>
    <sheetDataSet>
      <sheetData sheetId="0" refreshError="1">
        <row r="1">
          <cell r="B1" t="str">
            <v>December</v>
          </cell>
        </row>
        <row r="2">
          <cell r="B2">
            <v>31</v>
          </cell>
        </row>
        <row r="4">
          <cell r="B4" t="str">
            <v>2006/07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ctrlProp" Target="../ctrlProps/ctrlProp2.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image" Target="../media/image16.emf"/><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6"/>
  </sheetPr>
  <dimension ref="A1"/>
  <sheetViews>
    <sheetView showGridLines="0" topLeftCell="A16" zoomScale="110" workbookViewId="0"/>
  </sheetViews>
  <sheetFormatPr defaultColWidth="8" defaultRowHeight="12.75" x14ac:dyDescent="0.2"/>
  <cols>
    <col min="1" max="16384" width="8" style="478"/>
  </cols>
  <sheetData>
    <row r="1" spans="1:1" x14ac:dyDescent="0.2">
      <c r="A1" s="478" t="str">
        <f>'Lookup and lists'!B28</f>
        <v>LIM333 Greater Tzaneen</v>
      </c>
    </row>
  </sheetData>
  <sheetProtection sheet="1" objects="1" scenarios="1"/>
  <phoneticPr fontId="18" type="noConversion"/>
  <pageMargins left="0.75" right="0.75" top="1" bottom="1" header="0.5" footer="0.5"/>
  <pageSetup scale="7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tabColor rgb="FFCCFFCC"/>
    <pageSetUpPr fitToPage="1"/>
  </sheetPr>
  <dimension ref="A1:K36"/>
  <sheetViews>
    <sheetView showGridLines="0" zoomScaleNormal="100" workbookViewId="0">
      <pane xSplit="2" ySplit="4" topLeftCell="D5" activePane="bottomRight" state="frozen"/>
      <selection activeCell="M29" sqref="M29"/>
      <selection pane="topRight" activeCell="M29" sqref="M29"/>
      <selection pane="bottomLeft" activeCell="M29" sqref="M29"/>
      <selection pane="bottomRight" activeCell="F16" sqref="F16"/>
    </sheetView>
  </sheetViews>
  <sheetFormatPr defaultRowHeight="12.75" x14ac:dyDescent="0.25"/>
  <cols>
    <col min="1" max="1" width="30.7109375" style="20" customWidth="1"/>
    <col min="2" max="2" width="15.7109375" style="20" customWidth="1"/>
    <col min="3" max="11" width="8.7109375" style="20" customWidth="1"/>
    <col min="12" max="16384" width="9.140625" style="20"/>
  </cols>
  <sheetData>
    <row r="1" spans="1:11" ht="13.5" x14ac:dyDescent="0.25">
      <c r="A1" s="112" t="str">
        <f>_MEB6</f>
        <v>GREATER TZANEEN ECONOMIC DEVELOPMENT AGENCY - Supporting Table SD1 Measurable performance targets</v>
      </c>
      <c r="B1" s="43"/>
    </row>
    <row r="2" spans="1:11" ht="25.5" customHeight="1" x14ac:dyDescent="0.25">
      <c r="A2" s="632" t="s">
        <v>437</v>
      </c>
      <c r="B2" s="632" t="s">
        <v>47</v>
      </c>
      <c r="C2" s="108" t="str">
        <f>head1b</f>
        <v>2014/15</v>
      </c>
      <c r="D2" s="21" t="str">
        <f>head1A</f>
        <v>2015/16</v>
      </c>
      <c r="E2" s="102" t="str">
        <f>Head1</f>
        <v>2016/17</v>
      </c>
      <c r="F2" s="622" t="str">
        <f>Head2</f>
        <v>Current Year 2017/18</v>
      </c>
      <c r="G2" s="623"/>
      <c r="H2" s="624"/>
      <c r="I2" s="622" t="str">
        <f>Head3a</f>
        <v>Medium Term Revenue and Expenditure Framework</v>
      </c>
      <c r="J2" s="623"/>
      <c r="K2" s="624"/>
    </row>
    <row r="3" spans="1:11" ht="13.5" customHeight="1" x14ac:dyDescent="0.25">
      <c r="A3" s="633"/>
      <c r="B3" s="633"/>
      <c r="C3" s="628" t="str">
        <f>Head5</f>
        <v>Audited Outcome</v>
      </c>
      <c r="D3" s="630" t="str">
        <f>Head5</f>
        <v>Audited Outcome</v>
      </c>
      <c r="E3" s="635" t="str">
        <f>Head5</f>
        <v>Audited Outcome</v>
      </c>
      <c r="F3" s="637" t="str">
        <f>Head6</f>
        <v>Original Budget</v>
      </c>
      <c r="G3" s="639" t="str">
        <f>Head7</f>
        <v>Adjusted Budget</v>
      </c>
      <c r="H3" s="635" t="str">
        <f>Head8</f>
        <v>Full Year Forecast</v>
      </c>
      <c r="I3" s="637" t="str">
        <f>Head9</f>
        <v>Budget Year 2018/19</v>
      </c>
      <c r="J3" s="639" t="str">
        <f>Head10</f>
        <v>Budget Year +1 2019/20</v>
      </c>
      <c r="K3" s="635" t="str">
        <f>Head11</f>
        <v>Budget Year +2 2020/21</v>
      </c>
    </row>
    <row r="4" spans="1:11" ht="13.5" customHeight="1" x14ac:dyDescent="0.25">
      <c r="A4" s="634"/>
      <c r="B4" s="634"/>
      <c r="C4" s="629"/>
      <c r="D4" s="631"/>
      <c r="E4" s="636"/>
      <c r="F4" s="638"/>
      <c r="G4" s="640"/>
      <c r="H4" s="636"/>
      <c r="I4" s="638"/>
      <c r="J4" s="640"/>
      <c r="K4" s="636"/>
    </row>
    <row r="5" spans="1:11" ht="12.75" customHeight="1" x14ac:dyDescent="0.25">
      <c r="A5" s="536" t="s">
        <v>888</v>
      </c>
      <c r="B5" s="281"/>
      <c r="C5" s="272"/>
      <c r="D5" s="270"/>
      <c r="E5" s="271"/>
      <c r="F5" s="272"/>
      <c r="G5" s="270"/>
      <c r="H5" s="271"/>
      <c r="I5" s="272"/>
      <c r="J5" s="270"/>
      <c r="K5" s="271"/>
    </row>
    <row r="6" spans="1:11" ht="12.75" customHeight="1" x14ac:dyDescent="0.25">
      <c r="A6" s="280"/>
      <c r="B6" s="281"/>
      <c r="C6" s="272"/>
      <c r="D6" s="270"/>
      <c r="E6" s="271"/>
      <c r="F6" s="272"/>
      <c r="G6" s="270"/>
      <c r="H6" s="271"/>
      <c r="I6" s="272"/>
      <c r="J6" s="270"/>
      <c r="K6" s="271"/>
    </row>
    <row r="7" spans="1:11" ht="12.75" customHeight="1" x14ac:dyDescent="0.25">
      <c r="A7" s="282"/>
      <c r="B7" s="283"/>
      <c r="C7" s="272"/>
      <c r="D7" s="270"/>
      <c r="E7" s="271"/>
      <c r="F7" s="272"/>
      <c r="G7" s="270"/>
      <c r="H7" s="271"/>
      <c r="I7" s="272"/>
      <c r="J7" s="270"/>
      <c r="K7" s="271"/>
    </row>
    <row r="8" spans="1:11" ht="12.75" customHeight="1" x14ac:dyDescent="0.25">
      <c r="A8" s="282"/>
      <c r="B8" s="283"/>
      <c r="C8" s="272"/>
      <c r="D8" s="270"/>
      <c r="E8" s="271"/>
      <c r="F8" s="272"/>
      <c r="G8" s="270"/>
      <c r="H8" s="271"/>
      <c r="I8" s="272"/>
      <c r="J8" s="270"/>
      <c r="K8" s="271"/>
    </row>
    <row r="9" spans="1:11" ht="12.75" customHeight="1" x14ac:dyDescent="0.25">
      <c r="A9" s="282"/>
      <c r="B9" s="283"/>
      <c r="C9" s="272"/>
      <c r="D9" s="270"/>
      <c r="E9" s="271"/>
      <c r="F9" s="272"/>
      <c r="G9" s="270"/>
      <c r="H9" s="271"/>
      <c r="I9" s="272"/>
      <c r="J9" s="270"/>
      <c r="K9" s="271"/>
    </row>
    <row r="10" spans="1:11" ht="12.75" customHeight="1" x14ac:dyDescent="0.25">
      <c r="A10" s="282"/>
      <c r="B10" s="283"/>
      <c r="C10" s="272"/>
      <c r="D10" s="270"/>
      <c r="E10" s="271"/>
      <c r="F10" s="272"/>
      <c r="G10" s="270"/>
      <c r="H10" s="271"/>
      <c r="I10" s="272"/>
      <c r="J10" s="270"/>
      <c r="K10" s="271"/>
    </row>
    <row r="11" spans="1:11" ht="12.75" customHeight="1" x14ac:dyDescent="0.25">
      <c r="A11" s="280"/>
      <c r="B11" s="283"/>
      <c r="C11" s="272"/>
      <c r="D11" s="270"/>
      <c r="E11" s="271"/>
      <c r="F11" s="272"/>
      <c r="G11" s="270"/>
      <c r="H11" s="271"/>
      <c r="I11" s="272"/>
      <c r="J11" s="270"/>
      <c r="K11" s="271"/>
    </row>
    <row r="12" spans="1:11" ht="12.75" customHeight="1" x14ac:dyDescent="0.25">
      <c r="A12" s="282"/>
      <c r="B12" s="283"/>
      <c r="C12" s="272"/>
      <c r="D12" s="270"/>
      <c r="E12" s="271"/>
      <c r="F12" s="272"/>
      <c r="G12" s="270"/>
      <c r="H12" s="271"/>
      <c r="I12" s="272"/>
      <c r="J12" s="270"/>
      <c r="K12" s="271"/>
    </row>
    <row r="13" spans="1:11" ht="12.75" customHeight="1" x14ac:dyDescent="0.25">
      <c r="A13" s="282"/>
      <c r="B13" s="283"/>
      <c r="C13" s="272"/>
      <c r="D13" s="270"/>
      <c r="E13" s="271"/>
      <c r="F13" s="272"/>
      <c r="G13" s="270"/>
      <c r="H13" s="271"/>
      <c r="I13" s="272"/>
      <c r="J13" s="270"/>
      <c r="K13" s="271"/>
    </row>
    <row r="14" spans="1:11" ht="12.75" customHeight="1" x14ac:dyDescent="0.25">
      <c r="A14" s="282"/>
      <c r="B14" s="283"/>
      <c r="C14" s="272"/>
      <c r="D14" s="270"/>
      <c r="E14" s="271"/>
      <c r="F14" s="272"/>
      <c r="G14" s="270"/>
      <c r="H14" s="271"/>
      <c r="I14" s="272"/>
      <c r="J14" s="270"/>
      <c r="K14" s="271"/>
    </row>
    <row r="15" spans="1:11" ht="12.75" customHeight="1" x14ac:dyDescent="0.25">
      <c r="A15" s="280"/>
      <c r="B15" s="283"/>
      <c r="C15" s="272"/>
      <c r="D15" s="270"/>
      <c r="E15" s="271"/>
      <c r="F15" s="272"/>
      <c r="G15" s="270"/>
      <c r="H15" s="271"/>
      <c r="I15" s="272"/>
      <c r="J15" s="270"/>
      <c r="K15" s="271"/>
    </row>
    <row r="16" spans="1:11" ht="12.75" customHeight="1" x14ac:dyDescent="0.25">
      <c r="A16" s="282"/>
      <c r="B16" s="283"/>
      <c r="C16" s="272"/>
      <c r="D16" s="270"/>
      <c r="E16" s="271"/>
      <c r="F16" s="272"/>
      <c r="G16" s="270"/>
      <c r="H16" s="271"/>
      <c r="I16" s="272"/>
      <c r="J16" s="270"/>
      <c r="K16" s="271"/>
    </row>
    <row r="17" spans="1:11" ht="12.75" customHeight="1" x14ac:dyDescent="0.25">
      <c r="A17" s="282"/>
      <c r="B17" s="283"/>
      <c r="C17" s="272"/>
      <c r="D17" s="270"/>
      <c r="E17" s="271"/>
      <c r="F17" s="272"/>
      <c r="G17" s="270"/>
      <c r="H17" s="271"/>
      <c r="I17" s="272"/>
      <c r="J17" s="270"/>
      <c r="K17" s="271"/>
    </row>
    <row r="18" spans="1:11" ht="12.75" customHeight="1" x14ac:dyDescent="0.25">
      <c r="A18" s="282"/>
      <c r="B18" s="283"/>
      <c r="C18" s="272"/>
      <c r="D18" s="270"/>
      <c r="E18" s="271"/>
      <c r="F18" s="272"/>
      <c r="G18" s="270"/>
      <c r="H18" s="271"/>
      <c r="I18" s="272"/>
      <c r="J18" s="270"/>
      <c r="K18" s="271"/>
    </row>
    <row r="19" spans="1:11" ht="12.75" customHeight="1" x14ac:dyDescent="0.25">
      <c r="A19" s="282"/>
      <c r="B19" s="283"/>
      <c r="C19" s="272"/>
      <c r="D19" s="270"/>
      <c r="E19" s="271"/>
      <c r="F19" s="272"/>
      <c r="G19" s="270"/>
      <c r="H19" s="271"/>
      <c r="I19" s="272"/>
      <c r="J19" s="270"/>
      <c r="K19" s="271"/>
    </row>
    <row r="20" spans="1:11" ht="12.75" customHeight="1" x14ac:dyDescent="0.25">
      <c r="A20" s="282"/>
      <c r="B20" s="283"/>
      <c r="C20" s="272"/>
      <c r="D20" s="270"/>
      <c r="E20" s="271"/>
      <c r="F20" s="272"/>
      <c r="G20" s="270"/>
      <c r="H20" s="271"/>
      <c r="I20" s="272"/>
      <c r="J20" s="270"/>
      <c r="K20" s="271"/>
    </row>
    <row r="21" spans="1:11" ht="12.75" customHeight="1" x14ac:dyDescent="0.25">
      <c r="A21" s="282"/>
      <c r="B21" s="283"/>
      <c r="C21" s="272"/>
      <c r="D21" s="270"/>
      <c r="E21" s="271"/>
      <c r="F21" s="272"/>
      <c r="G21" s="270"/>
      <c r="H21" s="271"/>
      <c r="I21" s="272"/>
      <c r="J21" s="270"/>
      <c r="K21" s="271"/>
    </row>
    <row r="22" spans="1:11" ht="12.75" customHeight="1" x14ac:dyDescent="0.25">
      <c r="A22" s="282"/>
      <c r="B22" s="283"/>
      <c r="C22" s="272"/>
      <c r="D22" s="270"/>
      <c r="E22" s="271"/>
      <c r="F22" s="272"/>
      <c r="G22" s="270"/>
      <c r="H22" s="271"/>
      <c r="I22" s="272"/>
      <c r="J22" s="270"/>
      <c r="K22" s="271"/>
    </row>
    <row r="23" spans="1:11" ht="12.75" customHeight="1" x14ac:dyDescent="0.25">
      <c r="A23" s="282"/>
      <c r="B23" s="283"/>
      <c r="C23" s="272"/>
      <c r="D23" s="270"/>
      <c r="E23" s="271"/>
      <c r="F23" s="272"/>
      <c r="G23" s="270"/>
      <c r="H23" s="271"/>
      <c r="I23" s="272"/>
      <c r="J23" s="270"/>
      <c r="K23" s="271"/>
    </row>
    <row r="24" spans="1:11" ht="12.75" customHeight="1" x14ac:dyDescent="0.25">
      <c r="A24" s="282"/>
      <c r="B24" s="283"/>
      <c r="C24" s="272"/>
      <c r="D24" s="270"/>
      <c r="E24" s="271"/>
      <c r="F24" s="272"/>
      <c r="G24" s="270"/>
      <c r="H24" s="271"/>
      <c r="I24" s="272"/>
      <c r="J24" s="270"/>
      <c r="K24" s="271"/>
    </row>
    <row r="25" spans="1:11" ht="12.75" customHeight="1" x14ac:dyDescent="0.25">
      <c r="A25" s="282"/>
      <c r="B25" s="283"/>
      <c r="C25" s="272"/>
      <c r="D25" s="270"/>
      <c r="E25" s="271"/>
      <c r="F25" s="272"/>
      <c r="G25" s="270"/>
      <c r="H25" s="271"/>
      <c r="I25" s="272"/>
      <c r="J25" s="270"/>
      <c r="K25" s="271"/>
    </row>
    <row r="26" spans="1:11" ht="12.75" customHeight="1" x14ac:dyDescent="0.25">
      <c r="A26" s="282"/>
      <c r="B26" s="283"/>
      <c r="C26" s="272"/>
      <c r="D26" s="270"/>
      <c r="E26" s="271"/>
      <c r="F26" s="272"/>
      <c r="G26" s="270"/>
      <c r="H26" s="271"/>
      <c r="I26" s="272"/>
      <c r="J26" s="270"/>
      <c r="K26" s="271"/>
    </row>
    <row r="27" spans="1:11" ht="12.75" customHeight="1" x14ac:dyDescent="0.25">
      <c r="A27" s="282"/>
      <c r="B27" s="283"/>
      <c r="C27" s="272"/>
      <c r="D27" s="270"/>
      <c r="E27" s="271"/>
      <c r="F27" s="272"/>
      <c r="G27" s="270"/>
      <c r="H27" s="271"/>
      <c r="I27" s="272"/>
      <c r="J27" s="270"/>
      <c r="K27" s="271"/>
    </row>
    <row r="28" spans="1:11" ht="12.75" customHeight="1" x14ac:dyDescent="0.25">
      <c r="A28" s="282"/>
      <c r="B28" s="283"/>
      <c r="C28" s="272"/>
      <c r="D28" s="270"/>
      <c r="E28" s="271"/>
      <c r="F28" s="272"/>
      <c r="G28" s="270"/>
      <c r="H28" s="271"/>
      <c r="I28" s="272"/>
      <c r="J28" s="270"/>
      <c r="K28" s="271"/>
    </row>
    <row r="29" spans="1:11" ht="12.75" customHeight="1" x14ac:dyDescent="0.25">
      <c r="A29" s="284"/>
      <c r="B29" s="285"/>
      <c r="C29" s="272"/>
      <c r="D29" s="270"/>
      <c r="E29" s="271"/>
      <c r="F29" s="272"/>
      <c r="G29" s="270"/>
      <c r="H29" s="271"/>
      <c r="I29" s="272"/>
      <c r="J29" s="270"/>
      <c r="K29" s="271"/>
    </row>
    <row r="30" spans="1:11" ht="12.75" customHeight="1" x14ac:dyDescent="0.25">
      <c r="A30" s="282"/>
      <c r="B30" s="283"/>
      <c r="C30" s="272"/>
      <c r="D30" s="270"/>
      <c r="E30" s="271"/>
      <c r="F30" s="272"/>
      <c r="G30" s="270"/>
      <c r="H30" s="271"/>
      <c r="I30" s="272"/>
      <c r="J30" s="270"/>
      <c r="K30" s="271"/>
    </row>
    <row r="31" spans="1:11" ht="12.75" customHeight="1" x14ac:dyDescent="0.25">
      <c r="A31" s="284"/>
      <c r="B31" s="286"/>
      <c r="C31" s="272"/>
      <c r="D31" s="270"/>
      <c r="E31" s="271"/>
      <c r="F31" s="272"/>
      <c r="G31" s="270"/>
      <c r="H31" s="271"/>
      <c r="I31" s="272"/>
      <c r="J31" s="270"/>
      <c r="K31" s="271"/>
    </row>
    <row r="32" spans="1:11" ht="12.75" customHeight="1" x14ac:dyDescent="0.25">
      <c r="A32" s="282"/>
      <c r="B32" s="283"/>
      <c r="C32" s="272"/>
      <c r="D32" s="270"/>
      <c r="E32" s="271"/>
      <c r="F32" s="272"/>
      <c r="G32" s="270"/>
      <c r="H32" s="271"/>
      <c r="I32" s="272"/>
      <c r="J32" s="270"/>
      <c r="K32" s="271"/>
    </row>
    <row r="33" spans="1:11" ht="12.75" customHeight="1" x14ac:dyDescent="0.25">
      <c r="A33" s="287"/>
      <c r="B33" s="288"/>
      <c r="C33" s="289"/>
      <c r="D33" s="290"/>
      <c r="E33" s="291"/>
      <c r="F33" s="289"/>
      <c r="G33" s="290"/>
      <c r="H33" s="291"/>
      <c r="I33" s="289"/>
      <c r="J33" s="290"/>
      <c r="K33" s="291"/>
    </row>
    <row r="34" spans="1:11" ht="12.75" customHeight="1" x14ac:dyDescent="0.25">
      <c r="A34" s="165" t="s">
        <v>307</v>
      </c>
      <c r="B34" s="87"/>
      <c r="C34" s="163"/>
      <c r="D34" s="163"/>
      <c r="E34" s="163"/>
      <c r="F34" s="90"/>
      <c r="G34" s="90"/>
      <c r="H34" s="90"/>
      <c r="I34" s="90"/>
      <c r="J34" s="90"/>
      <c r="K34" s="90"/>
    </row>
    <row r="35" spans="1:11" ht="12.75" customHeight="1" x14ac:dyDescent="0.25">
      <c r="A35" s="47" t="s">
        <v>101</v>
      </c>
      <c r="B35" s="74"/>
      <c r="C35" s="42"/>
      <c r="D35" s="42"/>
      <c r="E35" s="42"/>
      <c r="F35" s="42"/>
      <c r="G35" s="42"/>
      <c r="H35" s="42"/>
      <c r="I35" s="42"/>
      <c r="J35" s="42"/>
      <c r="K35" s="42"/>
    </row>
    <row r="36" spans="1:11" x14ac:dyDescent="0.25">
      <c r="A36" s="116"/>
      <c r="B36" s="116"/>
    </row>
  </sheetData>
  <sheetProtection sheet="1" objects="1" scenarios="1"/>
  <mergeCells count="13">
    <mergeCell ref="F3:F4"/>
    <mergeCell ref="G3:G4"/>
    <mergeCell ref="H3:H4"/>
    <mergeCell ref="F2:H2"/>
    <mergeCell ref="I2:K2"/>
    <mergeCell ref="I3:I4"/>
    <mergeCell ref="J3:J4"/>
    <mergeCell ref="K3:K4"/>
    <mergeCell ref="C3:C4"/>
    <mergeCell ref="D3:D4"/>
    <mergeCell ref="A2:A4"/>
    <mergeCell ref="B2:B4"/>
    <mergeCell ref="E3:E4"/>
  </mergeCells>
  <phoneticPr fontId="2" type="noConversion"/>
  <printOptions horizontalCentered="1"/>
  <pageMargins left="0.36" right="0.17" top="0.79" bottom="0.6" header="0.51181102362204722" footer="0.39"/>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tabColor rgb="FFCCFFCC"/>
    <pageSetUpPr fitToPage="1"/>
  </sheetPr>
  <dimension ref="A1:L99"/>
  <sheetViews>
    <sheetView showGridLines="0" topLeftCell="A19" zoomScaleNormal="100" workbookViewId="0">
      <selection activeCell="D37" sqref="D37"/>
    </sheetView>
  </sheetViews>
  <sheetFormatPr defaultRowHeight="12.75" customHeight="1" x14ac:dyDescent="0.25"/>
  <cols>
    <col min="1" max="2" width="25.7109375" style="20" customWidth="1"/>
    <col min="3" max="3" width="3.140625" style="20" customWidth="1"/>
    <col min="4" max="12" width="8.7109375" style="20" customWidth="1"/>
    <col min="13" max="16384" width="9.140625" style="20"/>
  </cols>
  <sheetData>
    <row r="1" spans="1:12" ht="13.5" x14ac:dyDescent="0.25">
      <c r="A1" s="112" t="str">
        <f>_MEB7</f>
        <v>GREATER TZANEEN ECONOMIC DEVELOPMENT AGENCY - Supporting Table SD2 Financial and non-financial indicators</v>
      </c>
      <c r="B1" s="43"/>
      <c r="C1" s="43"/>
    </row>
    <row r="2" spans="1:12" ht="25.5" x14ac:dyDescent="0.25">
      <c r="A2" s="641" t="s">
        <v>438</v>
      </c>
      <c r="B2" s="632" t="s">
        <v>295</v>
      </c>
      <c r="C2" s="632" t="str">
        <f>head27</f>
        <v>Ref</v>
      </c>
      <c r="D2" s="108" t="str">
        <f>head1b</f>
        <v>2014/15</v>
      </c>
      <c r="E2" s="21" t="str">
        <f>head1A</f>
        <v>2015/16</v>
      </c>
      <c r="F2" s="102" t="str">
        <f>Head1</f>
        <v>2016/17</v>
      </c>
      <c r="G2" s="622" t="str">
        <f>Head2</f>
        <v>Current Year 2017/18</v>
      </c>
      <c r="H2" s="623"/>
      <c r="I2" s="624"/>
      <c r="J2" s="131" t="str">
        <f>Head3a</f>
        <v>Medium Term Revenue and Expenditure Framework</v>
      </c>
      <c r="K2" s="129"/>
      <c r="L2" s="130"/>
    </row>
    <row r="3" spans="1:12" x14ac:dyDescent="0.25">
      <c r="A3" s="642"/>
      <c r="B3" s="633"/>
      <c r="C3" s="633"/>
      <c r="D3" s="628" t="str">
        <f>Head5</f>
        <v>Audited Outcome</v>
      </c>
      <c r="E3" s="630" t="str">
        <f>Head5</f>
        <v>Audited Outcome</v>
      </c>
      <c r="F3" s="635" t="str">
        <f>Head5</f>
        <v>Audited Outcome</v>
      </c>
      <c r="G3" s="637" t="str">
        <f>Head6</f>
        <v>Original Budget</v>
      </c>
      <c r="H3" s="639" t="str">
        <f>Head7</f>
        <v>Adjusted Budget</v>
      </c>
      <c r="I3" s="635" t="str">
        <f>Head8</f>
        <v>Full Year Forecast</v>
      </c>
      <c r="J3" s="637" t="str">
        <f>Head9</f>
        <v>Budget Year 2018/19</v>
      </c>
      <c r="K3" s="639" t="str">
        <f>Head10</f>
        <v>Budget Year +1 2019/20</v>
      </c>
      <c r="L3" s="635" t="str">
        <f>Head11</f>
        <v>Budget Year +2 2020/21</v>
      </c>
    </row>
    <row r="4" spans="1:12" x14ac:dyDescent="0.25">
      <c r="A4" s="151"/>
      <c r="B4" s="164"/>
      <c r="C4" s="140"/>
      <c r="D4" s="629"/>
      <c r="E4" s="631"/>
      <c r="F4" s="636"/>
      <c r="G4" s="638"/>
      <c r="H4" s="640"/>
      <c r="I4" s="636"/>
      <c r="J4" s="638"/>
      <c r="K4" s="640"/>
      <c r="L4" s="636"/>
    </row>
    <row r="5" spans="1:12" ht="12.75" customHeight="1" x14ac:dyDescent="0.25">
      <c r="A5" s="80" t="s">
        <v>78</v>
      </c>
      <c r="B5" s="117"/>
      <c r="C5" s="76"/>
      <c r="D5" s="293"/>
      <c r="E5" s="72"/>
      <c r="F5" s="167"/>
      <c r="G5" s="166"/>
      <c r="H5" s="72"/>
      <c r="I5" s="167"/>
      <c r="J5" s="77"/>
      <c r="K5" s="72"/>
      <c r="L5" s="167"/>
    </row>
    <row r="6" spans="1:12" ht="12.75" customHeight="1" x14ac:dyDescent="0.25">
      <c r="A6" s="79" t="s">
        <v>326</v>
      </c>
      <c r="B6" s="117" t="s">
        <v>312</v>
      </c>
      <c r="C6" s="76"/>
      <c r="D6" s="77">
        <f>IF(ISERROR(D39/D40),0,(D39/D40))</f>
        <v>0</v>
      </c>
      <c r="E6" s="78">
        <f t="shared" ref="E6:L6" si="0">IF(ISERROR(E39/E40),0,(E39/E40))</f>
        <v>0</v>
      </c>
      <c r="F6" s="145">
        <f t="shared" si="0"/>
        <v>0</v>
      </c>
      <c r="G6" s="77">
        <f t="shared" si="0"/>
        <v>0</v>
      </c>
      <c r="H6" s="78">
        <f t="shared" si="0"/>
        <v>0</v>
      </c>
      <c r="I6" s="145">
        <f t="shared" si="0"/>
        <v>0</v>
      </c>
      <c r="J6" s="77">
        <f t="shared" si="0"/>
        <v>0</v>
      </c>
      <c r="K6" s="78">
        <f t="shared" si="0"/>
        <v>0</v>
      </c>
      <c r="L6" s="145">
        <f t="shared" si="0"/>
        <v>0</v>
      </c>
    </row>
    <row r="7" spans="1:12" ht="25.5" x14ac:dyDescent="0.25">
      <c r="A7" s="79" t="s">
        <v>327</v>
      </c>
      <c r="B7" s="117" t="s">
        <v>476</v>
      </c>
      <c r="C7" s="76"/>
      <c r="D7" s="168">
        <f>IF(ISERROR((D41+D42)/D43),0,((D41+D42)/D43))</f>
        <v>0</v>
      </c>
      <c r="E7" s="91">
        <f t="shared" ref="E7:L7" si="1">IF(ISERROR((E41+E42)/E43),0,((E41+E42)/E43))</f>
        <v>0</v>
      </c>
      <c r="F7" s="169">
        <f t="shared" si="1"/>
        <v>0</v>
      </c>
      <c r="G7" s="168">
        <f t="shared" si="1"/>
        <v>0</v>
      </c>
      <c r="H7" s="91">
        <f t="shared" si="1"/>
        <v>0</v>
      </c>
      <c r="I7" s="169">
        <f t="shared" si="1"/>
        <v>0</v>
      </c>
      <c r="J7" s="186">
        <f t="shared" si="1"/>
        <v>0</v>
      </c>
      <c r="K7" s="187">
        <f t="shared" si="1"/>
        <v>0</v>
      </c>
      <c r="L7" s="188">
        <f t="shared" si="1"/>
        <v>0</v>
      </c>
    </row>
    <row r="8" spans="1:12" ht="25.5" x14ac:dyDescent="0.25">
      <c r="A8" s="79" t="s">
        <v>203</v>
      </c>
      <c r="B8" s="117" t="s">
        <v>830</v>
      </c>
      <c r="C8" s="76"/>
      <c r="D8" s="77">
        <f>IF(ISERROR(D44/(D45-D46-D47)),0,(D44/(D45-D46-D47)))</f>
        <v>0</v>
      </c>
      <c r="E8" s="78">
        <f t="shared" ref="E8:L8" si="2">IF(ISERROR(E44/(E45-E46-E47)),0,(E44/(E45-E46-E47)))</f>
        <v>0</v>
      </c>
      <c r="F8" s="145">
        <f t="shared" si="2"/>
        <v>0</v>
      </c>
      <c r="G8" s="77">
        <f t="shared" si="2"/>
        <v>0</v>
      </c>
      <c r="H8" s="78">
        <f t="shared" si="2"/>
        <v>0</v>
      </c>
      <c r="I8" s="145">
        <f t="shared" si="2"/>
        <v>0</v>
      </c>
      <c r="J8" s="77">
        <f t="shared" si="2"/>
        <v>0</v>
      </c>
      <c r="K8" s="78">
        <f t="shared" si="2"/>
        <v>0</v>
      </c>
      <c r="L8" s="145">
        <f t="shared" si="2"/>
        <v>0</v>
      </c>
    </row>
    <row r="9" spans="1:12" ht="12.75" customHeight="1" x14ac:dyDescent="0.25">
      <c r="A9" s="80" t="s">
        <v>261</v>
      </c>
      <c r="B9" s="117"/>
      <c r="C9" s="76"/>
      <c r="D9" s="166"/>
      <c r="E9" s="72"/>
      <c r="F9" s="167"/>
      <c r="G9" s="166"/>
      <c r="H9" s="72"/>
      <c r="I9" s="167"/>
      <c r="J9" s="81"/>
      <c r="K9" s="82"/>
      <c r="L9" s="189"/>
    </row>
    <row r="10" spans="1:12" ht="25.5" x14ac:dyDescent="0.25">
      <c r="A10" s="79" t="s">
        <v>467</v>
      </c>
      <c r="B10" s="117" t="s">
        <v>316</v>
      </c>
      <c r="C10" s="76"/>
      <c r="D10" s="77">
        <f>IF(ISERROR(D48/D49),0,(D48/D49))</f>
        <v>0</v>
      </c>
      <c r="E10" s="78">
        <f t="shared" ref="E10:L10" si="3">IF(ISERROR(E48/E49),0,(E48/E49))</f>
        <v>0</v>
      </c>
      <c r="F10" s="145">
        <f t="shared" si="3"/>
        <v>0</v>
      </c>
      <c r="G10" s="77">
        <f t="shared" si="3"/>
        <v>0</v>
      </c>
      <c r="H10" s="78">
        <f t="shared" si="3"/>
        <v>0</v>
      </c>
      <c r="I10" s="145">
        <f t="shared" si="3"/>
        <v>0</v>
      </c>
      <c r="J10" s="77">
        <f t="shared" si="3"/>
        <v>0</v>
      </c>
      <c r="K10" s="78">
        <f t="shared" si="3"/>
        <v>0</v>
      </c>
      <c r="L10" s="145">
        <f t="shared" si="3"/>
        <v>0</v>
      </c>
    </row>
    <row r="11" spans="1:12" ht="25.5" x14ac:dyDescent="0.25">
      <c r="A11" s="79" t="s">
        <v>260</v>
      </c>
      <c r="B11" s="117" t="s">
        <v>315</v>
      </c>
      <c r="C11" s="76"/>
      <c r="D11" s="168">
        <f>IF(ISERROR(D50/D49),0,(D50/D49))</f>
        <v>0</v>
      </c>
      <c r="E11" s="91">
        <f t="shared" ref="E11:L11" si="4">IF(ISERROR(E50/E49),0,(E50/E49))</f>
        <v>0</v>
      </c>
      <c r="F11" s="169">
        <f t="shared" si="4"/>
        <v>0</v>
      </c>
      <c r="G11" s="168">
        <f t="shared" si="4"/>
        <v>0</v>
      </c>
      <c r="H11" s="91">
        <f t="shared" si="4"/>
        <v>0</v>
      </c>
      <c r="I11" s="169">
        <f t="shared" si="4"/>
        <v>0</v>
      </c>
      <c r="J11" s="168">
        <f t="shared" si="4"/>
        <v>0</v>
      </c>
      <c r="K11" s="91">
        <f t="shared" si="4"/>
        <v>0</v>
      </c>
      <c r="L11" s="169">
        <f t="shared" si="4"/>
        <v>0</v>
      </c>
    </row>
    <row r="12" spans="1:12" ht="12.75" customHeight="1" x14ac:dyDescent="0.25">
      <c r="A12" s="80" t="s">
        <v>262</v>
      </c>
      <c r="B12" s="117"/>
      <c r="C12" s="76"/>
      <c r="D12" s="166"/>
      <c r="E12" s="72"/>
      <c r="F12" s="167"/>
      <c r="G12" s="166"/>
      <c r="H12" s="72"/>
      <c r="I12" s="167"/>
      <c r="J12" s="166"/>
      <c r="K12" s="72"/>
      <c r="L12" s="167"/>
    </row>
    <row r="13" spans="1:12" ht="12.75" customHeight="1" x14ac:dyDescent="0.25">
      <c r="A13" s="79" t="s">
        <v>328</v>
      </c>
      <c r="B13" s="117" t="s">
        <v>318</v>
      </c>
      <c r="C13" s="75"/>
      <c r="D13" s="170">
        <f>IF(ISERROR(D51/D52),0,(D51/D52))</f>
        <v>0.26248477466504261</v>
      </c>
      <c r="E13" s="92">
        <f t="shared" ref="E13:L13" si="5">IF(ISERROR(E51/E52),0,(E51/E52))</f>
        <v>0.55581741810430829</v>
      </c>
      <c r="F13" s="171">
        <f t="shared" si="5"/>
        <v>0.24769422239533093</v>
      </c>
      <c r="G13" s="170">
        <f t="shared" si="5"/>
        <v>0.11316387382463274</v>
      </c>
      <c r="H13" s="92">
        <f t="shared" si="5"/>
        <v>0</v>
      </c>
      <c r="I13" s="171">
        <f t="shared" si="5"/>
        <v>0.11316387382463274</v>
      </c>
      <c r="J13" s="170">
        <f t="shared" si="5"/>
        <v>0.43292142250731064</v>
      </c>
      <c r="K13" s="92">
        <f t="shared" si="5"/>
        <v>0.43292142250731064</v>
      </c>
      <c r="L13" s="171">
        <f t="shared" si="5"/>
        <v>0.43292142250731064</v>
      </c>
    </row>
    <row r="14" spans="1:12" ht="25.5" x14ac:dyDescent="0.25">
      <c r="A14" s="79" t="s">
        <v>176</v>
      </c>
      <c r="B14" s="117" t="s">
        <v>175</v>
      </c>
      <c r="C14" s="76"/>
      <c r="D14" s="170">
        <f>IF(ISERROR((D51-D53)/D52),0,((D51-D53)/D52))</f>
        <v>0.26248477466504261</v>
      </c>
      <c r="E14" s="92">
        <f t="shared" ref="E14:L14" si="6">IF(ISERROR((E51-E53)/E52),0,((E51-E53)/E52))</f>
        <v>0.55581741810430829</v>
      </c>
      <c r="F14" s="171">
        <f t="shared" si="6"/>
        <v>0.24769422239533093</v>
      </c>
      <c r="G14" s="170">
        <f t="shared" si="6"/>
        <v>0.11316387382463274</v>
      </c>
      <c r="H14" s="92">
        <f t="shared" si="6"/>
        <v>0</v>
      </c>
      <c r="I14" s="171">
        <f t="shared" si="6"/>
        <v>0.11316387382463274</v>
      </c>
      <c r="J14" s="170">
        <f t="shared" si="6"/>
        <v>0.43292142250731064</v>
      </c>
      <c r="K14" s="92">
        <f t="shared" si="6"/>
        <v>0.43292142250731064</v>
      </c>
      <c r="L14" s="171">
        <f t="shared" si="6"/>
        <v>0.43292142250731064</v>
      </c>
    </row>
    <row r="15" spans="1:12" ht="12.75" customHeight="1" x14ac:dyDescent="0.25">
      <c r="A15" s="79" t="s">
        <v>263</v>
      </c>
      <c r="B15" s="117" t="s">
        <v>317</v>
      </c>
      <c r="C15" s="76"/>
      <c r="D15" s="170">
        <f>IF(ISERROR(D54/D52),0,(D54/D52))</f>
        <v>0.26248477466504261</v>
      </c>
      <c r="E15" s="92">
        <f t="shared" ref="E15:L15" si="7">IF(ISERROR(E54/E52),0,(E54/E52))</f>
        <v>0.55581741810430829</v>
      </c>
      <c r="F15" s="171">
        <f t="shared" si="7"/>
        <v>0.24769422239533093</v>
      </c>
      <c r="G15" s="170">
        <f t="shared" si="7"/>
        <v>0.11316387382463274</v>
      </c>
      <c r="H15" s="92">
        <f t="shared" si="7"/>
        <v>0</v>
      </c>
      <c r="I15" s="171">
        <f t="shared" si="7"/>
        <v>0.11316387382463274</v>
      </c>
      <c r="J15" s="190">
        <f t="shared" si="7"/>
        <v>0.43292142250731064</v>
      </c>
      <c r="K15" s="191">
        <f t="shared" si="7"/>
        <v>0.43292142250731064</v>
      </c>
      <c r="L15" s="192">
        <f t="shared" si="7"/>
        <v>0.43292142250731064</v>
      </c>
    </row>
    <row r="16" spans="1:12" ht="12.75" customHeight="1" x14ac:dyDescent="0.25">
      <c r="A16" s="80" t="s">
        <v>15</v>
      </c>
      <c r="B16" s="117"/>
      <c r="C16" s="76"/>
      <c r="D16" s="166"/>
      <c r="E16" s="72"/>
      <c r="F16" s="167"/>
      <c r="G16" s="166"/>
      <c r="H16" s="72"/>
      <c r="I16" s="167"/>
      <c r="J16" s="166"/>
      <c r="K16" s="72"/>
      <c r="L16" s="167"/>
    </row>
    <row r="17" spans="1:12" ht="25.5" x14ac:dyDescent="0.25">
      <c r="A17" s="79" t="s">
        <v>38</v>
      </c>
      <c r="B17" s="117" t="s">
        <v>319</v>
      </c>
      <c r="C17" s="76"/>
      <c r="D17" s="527"/>
      <c r="E17" s="173">
        <f>IF(ISERROR(E55/E56),0,(E55/E56))</f>
        <v>0</v>
      </c>
      <c r="F17" s="174">
        <f t="shared" ref="F17:L17" si="8">IF(ISERROR(F55/F56),0,(F55/F56))</f>
        <v>0</v>
      </c>
      <c r="G17" s="172">
        <f t="shared" si="8"/>
        <v>0</v>
      </c>
      <c r="H17" s="173">
        <f t="shared" si="8"/>
        <v>0</v>
      </c>
      <c r="I17" s="174">
        <f t="shared" si="8"/>
        <v>0</v>
      </c>
      <c r="J17" s="85">
        <f t="shared" si="8"/>
        <v>0</v>
      </c>
      <c r="K17" s="86">
        <f t="shared" si="8"/>
        <v>0</v>
      </c>
      <c r="L17" s="193">
        <f t="shared" si="8"/>
        <v>0</v>
      </c>
    </row>
    <row r="18" spans="1:12" ht="25.5" x14ac:dyDescent="0.25">
      <c r="A18" s="79" t="s">
        <v>39</v>
      </c>
      <c r="B18" s="117" t="s">
        <v>174</v>
      </c>
      <c r="C18" s="76"/>
      <c r="D18" s="168">
        <f>IF(ISERROR(D57/D58),0,(D57/D58))</f>
        <v>0</v>
      </c>
      <c r="E18" s="91">
        <f t="shared" ref="E18:L18" si="9">IF(ISERROR(E57/E58),0,(E57/E58))</f>
        <v>0</v>
      </c>
      <c r="F18" s="169">
        <f t="shared" si="9"/>
        <v>0</v>
      </c>
      <c r="G18" s="168">
        <f t="shared" si="9"/>
        <v>0</v>
      </c>
      <c r="H18" s="91">
        <f t="shared" si="9"/>
        <v>0</v>
      </c>
      <c r="I18" s="169">
        <f t="shared" si="9"/>
        <v>0</v>
      </c>
      <c r="J18" s="168">
        <f t="shared" si="9"/>
        <v>0</v>
      </c>
      <c r="K18" s="91">
        <f t="shared" si="9"/>
        <v>0</v>
      </c>
      <c r="L18" s="169">
        <f t="shared" si="9"/>
        <v>0</v>
      </c>
    </row>
    <row r="19" spans="1:12" ht="25.5" x14ac:dyDescent="0.25">
      <c r="A19" s="79" t="s">
        <v>468</v>
      </c>
      <c r="B19" s="117" t="s">
        <v>320</v>
      </c>
      <c r="C19" s="76"/>
      <c r="D19" s="294"/>
      <c r="E19" s="295"/>
      <c r="F19" s="296"/>
      <c r="G19" s="294"/>
      <c r="H19" s="295"/>
      <c r="I19" s="296"/>
      <c r="J19" s="294"/>
      <c r="K19" s="295"/>
      <c r="L19" s="296"/>
    </row>
    <row r="20" spans="1:12" ht="12.75" customHeight="1" x14ac:dyDescent="0.25">
      <c r="A20" s="80" t="s">
        <v>469</v>
      </c>
      <c r="B20" s="117"/>
      <c r="C20" s="76"/>
      <c r="D20" s="166"/>
      <c r="E20" s="72"/>
      <c r="F20" s="167"/>
      <c r="G20" s="166"/>
      <c r="H20" s="72"/>
      <c r="I20" s="167"/>
      <c r="J20" s="166"/>
      <c r="K20" s="72"/>
      <c r="L20" s="167"/>
    </row>
    <row r="21" spans="1:12" ht="25.5" x14ac:dyDescent="0.25">
      <c r="A21" s="79" t="s">
        <v>470</v>
      </c>
      <c r="B21" s="117" t="s">
        <v>313</v>
      </c>
      <c r="C21" s="76"/>
      <c r="D21" s="294"/>
      <c r="E21" s="295"/>
      <c r="F21" s="296"/>
      <c r="G21" s="294"/>
      <c r="H21" s="295"/>
      <c r="I21" s="296"/>
      <c r="J21" s="294"/>
      <c r="K21" s="295"/>
      <c r="L21" s="296"/>
    </row>
    <row r="22" spans="1:12" ht="12.75" customHeight="1" x14ac:dyDescent="0.25">
      <c r="A22" s="80" t="s">
        <v>74</v>
      </c>
      <c r="B22" s="117"/>
      <c r="C22" s="76"/>
      <c r="D22" s="166"/>
      <c r="E22" s="72"/>
      <c r="F22" s="167"/>
      <c r="G22" s="166"/>
      <c r="H22" s="72"/>
      <c r="I22" s="167"/>
      <c r="J22" s="166"/>
      <c r="K22" s="72"/>
      <c r="L22" s="167"/>
    </row>
    <row r="23" spans="1:12" x14ac:dyDescent="0.25">
      <c r="A23" s="79" t="s">
        <v>75</v>
      </c>
      <c r="B23" s="117" t="s">
        <v>76</v>
      </c>
      <c r="C23" s="76"/>
      <c r="D23" s="166"/>
      <c r="E23" s="72"/>
      <c r="F23" s="167"/>
      <c r="G23" s="166"/>
      <c r="H23" s="72"/>
      <c r="I23" s="167"/>
      <c r="J23" s="166"/>
      <c r="K23" s="72"/>
      <c r="L23" s="167"/>
    </row>
    <row r="24" spans="1:12" ht="12.75" customHeight="1" x14ac:dyDescent="0.25">
      <c r="A24" s="80" t="s">
        <v>77</v>
      </c>
      <c r="B24" s="117"/>
      <c r="C24" s="76"/>
      <c r="D24" s="166"/>
      <c r="E24" s="72"/>
      <c r="F24" s="167"/>
      <c r="G24" s="166"/>
      <c r="H24" s="72"/>
      <c r="I24" s="167"/>
      <c r="J24" s="166"/>
      <c r="K24" s="72"/>
      <c r="L24" s="167"/>
    </row>
    <row r="25" spans="1:12" ht="38.25" x14ac:dyDescent="0.25">
      <c r="A25" s="79" t="s">
        <v>69</v>
      </c>
      <c r="B25" s="117" t="s">
        <v>831</v>
      </c>
      <c r="C25" s="75">
        <v>1</v>
      </c>
      <c r="D25" s="294"/>
      <c r="E25" s="295"/>
      <c r="F25" s="296"/>
      <c r="G25" s="294"/>
      <c r="H25" s="295"/>
      <c r="I25" s="296"/>
      <c r="J25" s="294"/>
      <c r="K25" s="295"/>
      <c r="L25" s="296"/>
    </row>
    <row r="26" spans="1:12" ht="38.25" x14ac:dyDescent="0.25">
      <c r="A26" s="79" t="s">
        <v>68</v>
      </c>
      <c r="B26" s="117" t="s">
        <v>832</v>
      </c>
      <c r="C26" s="75">
        <v>2</v>
      </c>
      <c r="D26" s="294"/>
      <c r="E26" s="295"/>
      <c r="F26" s="296"/>
      <c r="G26" s="294"/>
      <c r="H26" s="295"/>
      <c r="I26" s="296"/>
      <c r="J26" s="294"/>
      <c r="K26" s="295"/>
      <c r="L26" s="296"/>
    </row>
    <row r="27" spans="1:12" ht="25.5" x14ac:dyDescent="0.25">
      <c r="A27" s="79" t="s">
        <v>42</v>
      </c>
      <c r="B27" s="117" t="s">
        <v>284</v>
      </c>
      <c r="C27" s="76"/>
      <c r="D27" s="83">
        <f>IF(ISERROR(D59/D58),0,(D59/D58))</f>
        <v>0.66495163613912323</v>
      </c>
      <c r="E27" s="84">
        <f t="shared" ref="E27:L27" si="10">IF(ISERROR(E59/E58),0,(E59/E58))</f>
        <v>0.4718222222222222</v>
      </c>
      <c r="F27" s="175">
        <f t="shared" si="10"/>
        <v>0.51447661469933181</v>
      </c>
      <c r="G27" s="85">
        <f t="shared" si="10"/>
        <v>0.50346545225295569</v>
      </c>
      <c r="H27" s="181">
        <f t="shared" si="10"/>
        <v>0</v>
      </c>
      <c r="I27" s="182">
        <f t="shared" si="10"/>
        <v>0.50346545225295569</v>
      </c>
      <c r="J27" s="85">
        <f t="shared" si="10"/>
        <v>0.58950433745989472</v>
      </c>
      <c r="K27" s="86">
        <f t="shared" si="10"/>
        <v>0.59198933429490297</v>
      </c>
      <c r="L27" s="193">
        <f t="shared" si="10"/>
        <v>0.59488519919306804</v>
      </c>
    </row>
    <row r="28" spans="1:12" ht="12.75" customHeight="1" x14ac:dyDescent="0.25">
      <c r="A28" s="79" t="s">
        <v>282</v>
      </c>
      <c r="B28" s="117" t="s">
        <v>285</v>
      </c>
      <c r="C28" s="76"/>
      <c r="D28" s="83">
        <f>IF(ISERROR(D60/D58),0,(D60/D58))</f>
        <v>0</v>
      </c>
      <c r="E28" s="84">
        <f t="shared" ref="E28:L28" si="11">IF(ISERROR(E60/E58),0,(E60/E58))</f>
        <v>0</v>
      </c>
      <c r="F28" s="175">
        <f t="shared" si="11"/>
        <v>0</v>
      </c>
      <c r="G28" s="85">
        <f t="shared" si="11"/>
        <v>0</v>
      </c>
      <c r="H28" s="181">
        <f t="shared" si="11"/>
        <v>0</v>
      </c>
      <c r="I28" s="182">
        <f t="shared" si="11"/>
        <v>0</v>
      </c>
      <c r="J28" s="85">
        <f t="shared" si="11"/>
        <v>0</v>
      </c>
      <c r="K28" s="86">
        <f t="shared" si="11"/>
        <v>0</v>
      </c>
      <c r="L28" s="193">
        <f t="shared" si="11"/>
        <v>0</v>
      </c>
    </row>
    <row r="29" spans="1:12" ht="12.75" customHeight="1" x14ac:dyDescent="0.25">
      <c r="A29" s="79" t="s">
        <v>283</v>
      </c>
      <c r="B29" s="117" t="s">
        <v>264</v>
      </c>
      <c r="C29" s="76"/>
      <c r="D29" s="83">
        <f>IF(ISERROR((D41+D42)/D58),0,((D41+D42)/D58))</f>
        <v>0</v>
      </c>
      <c r="E29" s="84">
        <f t="shared" ref="E29:L29" si="12">IF(ISERROR((E41+E42)/E58),0,((E41+E42)/E58))</f>
        <v>0</v>
      </c>
      <c r="F29" s="175">
        <f t="shared" si="12"/>
        <v>0</v>
      </c>
      <c r="G29" s="85">
        <f t="shared" si="12"/>
        <v>0</v>
      </c>
      <c r="H29" s="181">
        <f t="shared" si="12"/>
        <v>0</v>
      </c>
      <c r="I29" s="182">
        <f t="shared" si="12"/>
        <v>0</v>
      </c>
      <c r="J29" s="85">
        <f t="shared" si="12"/>
        <v>0</v>
      </c>
      <c r="K29" s="86">
        <f t="shared" si="12"/>
        <v>0</v>
      </c>
      <c r="L29" s="193">
        <f t="shared" si="12"/>
        <v>0</v>
      </c>
    </row>
    <row r="30" spans="1:12" ht="12.75" customHeight="1" x14ac:dyDescent="0.25">
      <c r="A30" s="80" t="s">
        <v>330</v>
      </c>
      <c r="B30" s="118"/>
      <c r="C30" s="80"/>
      <c r="D30" s="176"/>
      <c r="E30" s="93"/>
      <c r="F30" s="175"/>
      <c r="G30" s="85"/>
      <c r="H30" s="181"/>
      <c r="I30" s="182"/>
      <c r="J30" s="85"/>
      <c r="K30" s="86"/>
      <c r="L30" s="193"/>
    </row>
    <row r="31" spans="1:12" ht="38.25" x14ac:dyDescent="0.25">
      <c r="A31" s="79" t="s">
        <v>190</v>
      </c>
      <c r="B31" s="117" t="s">
        <v>306</v>
      </c>
      <c r="C31" s="76"/>
      <c r="D31" s="177">
        <f>IF(ISERROR(D61/D62),0,(D61/D62))</f>
        <v>404.91666666666669</v>
      </c>
      <c r="E31" s="178">
        <f t="shared" ref="E31:L31" si="13">IF(ISERROR(E61/E62),0,(E61/E62))</f>
        <v>0</v>
      </c>
      <c r="F31" s="179">
        <f t="shared" si="13"/>
        <v>0</v>
      </c>
      <c r="G31" s="177">
        <f t="shared" si="13"/>
        <v>0</v>
      </c>
      <c r="H31" s="89">
        <f t="shared" si="13"/>
        <v>0</v>
      </c>
      <c r="I31" s="183">
        <f t="shared" si="13"/>
        <v>0</v>
      </c>
      <c r="J31" s="88">
        <f t="shared" si="13"/>
        <v>0</v>
      </c>
      <c r="K31" s="89">
        <f t="shared" si="13"/>
        <v>0</v>
      </c>
      <c r="L31" s="183">
        <f t="shared" si="13"/>
        <v>0</v>
      </c>
    </row>
    <row r="32" spans="1:12" ht="25.5" x14ac:dyDescent="0.25">
      <c r="A32" s="79" t="s">
        <v>314</v>
      </c>
      <c r="B32" s="117" t="s">
        <v>57</v>
      </c>
      <c r="C32" s="76"/>
      <c r="D32" s="172">
        <f>IF(ISERROR(D63/D64),0,(D63/D64))</f>
        <v>0</v>
      </c>
      <c r="E32" s="93">
        <f t="shared" ref="E32:L32" si="14">IF(ISERROR(E63/E64),0,(E63/E64))</f>
        <v>0</v>
      </c>
      <c r="F32" s="175">
        <f t="shared" si="14"/>
        <v>0</v>
      </c>
      <c r="G32" s="85">
        <f t="shared" si="14"/>
        <v>0</v>
      </c>
      <c r="H32" s="181">
        <f t="shared" si="14"/>
        <v>0</v>
      </c>
      <c r="I32" s="182">
        <f t="shared" si="14"/>
        <v>0</v>
      </c>
      <c r="J32" s="85">
        <f t="shared" si="14"/>
        <v>0</v>
      </c>
      <c r="K32" s="86">
        <f t="shared" si="14"/>
        <v>0</v>
      </c>
      <c r="L32" s="193">
        <f t="shared" si="14"/>
        <v>0</v>
      </c>
    </row>
    <row r="33" spans="1:12" ht="25.5" x14ac:dyDescent="0.25">
      <c r="A33" s="146" t="s">
        <v>191</v>
      </c>
      <c r="B33" s="121" t="s">
        <v>25</v>
      </c>
      <c r="C33" s="94"/>
      <c r="D33" s="232">
        <f>IF(ISERROR(D65/D66),0,(D65/D66))</f>
        <v>0.12713864306784661</v>
      </c>
      <c r="E33" s="95">
        <f t="shared" ref="E33:L33" si="15">IF(ISERROR(E65/E66),0,(E65/E66))</f>
        <v>0.34659159704564718</v>
      </c>
      <c r="F33" s="180">
        <f t="shared" si="15"/>
        <v>0.10435897435897436</v>
      </c>
      <c r="G33" s="184">
        <f t="shared" si="15"/>
        <v>5.6971890275680628E-2</v>
      </c>
      <c r="H33" s="96">
        <f t="shared" si="15"/>
        <v>0</v>
      </c>
      <c r="I33" s="185">
        <f t="shared" si="15"/>
        <v>5.6971890275680628E-2</v>
      </c>
      <c r="J33" s="184">
        <f t="shared" si="15"/>
        <v>0.15548055871733771</v>
      </c>
      <c r="K33" s="96">
        <f t="shared" si="15"/>
        <v>0.14642318109750865</v>
      </c>
      <c r="L33" s="185">
        <f t="shared" si="15"/>
        <v>0.13790852004698217</v>
      </c>
    </row>
    <row r="34" spans="1:12" ht="12.75" customHeight="1" x14ac:dyDescent="0.25">
      <c r="A34" s="35" t="s">
        <v>185</v>
      </c>
      <c r="B34" s="42"/>
      <c r="C34" s="42"/>
      <c r="D34" s="42"/>
      <c r="E34" s="42"/>
      <c r="F34" s="42"/>
      <c r="G34" s="42"/>
      <c r="H34" s="42"/>
      <c r="I34" s="42"/>
      <c r="J34" s="42"/>
      <c r="K34" s="42"/>
      <c r="L34" s="42"/>
    </row>
    <row r="35" spans="1:12" ht="12.75" customHeight="1" x14ac:dyDescent="0.25">
      <c r="A35" s="47" t="s">
        <v>329</v>
      </c>
      <c r="B35" s="42"/>
      <c r="C35" s="42"/>
      <c r="D35" s="42"/>
      <c r="E35" s="42"/>
      <c r="F35" s="42"/>
      <c r="G35" s="42"/>
      <c r="H35" s="42"/>
      <c r="I35" s="42"/>
      <c r="J35" s="42"/>
      <c r="K35" s="42"/>
      <c r="L35" s="42"/>
    </row>
    <row r="36" spans="1:12" ht="12.75" customHeight="1" x14ac:dyDescent="0.25">
      <c r="A36" s="47" t="s">
        <v>331</v>
      </c>
      <c r="B36" s="42"/>
      <c r="C36" s="42"/>
      <c r="D36" s="42"/>
      <c r="E36" s="42"/>
      <c r="F36" s="42"/>
      <c r="G36" s="42"/>
      <c r="H36" s="42"/>
      <c r="I36" s="42"/>
      <c r="J36" s="42"/>
      <c r="K36" s="42"/>
      <c r="L36" s="42"/>
    </row>
    <row r="37" spans="1:12" ht="12.75" customHeight="1" x14ac:dyDescent="0.25">
      <c r="A37" s="42"/>
      <c r="B37" s="42"/>
      <c r="C37" s="42"/>
      <c r="D37" s="42"/>
      <c r="E37" s="42"/>
      <c r="F37" s="42"/>
      <c r="G37" s="42"/>
      <c r="H37" s="42"/>
      <c r="I37" s="42"/>
      <c r="J37" s="42"/>
      <c r="K37" s="42"/>
      <c r="L37" s="42"/>
    </row>
    <row r="38" spans="1:12" ht="12.75" customHeight="1" x14ac:dyDescent="0.25">
      <c r="A38" s="74" t="s">
        <v>475</v>
      </c>
      <c r="B38" s="42"/>
      <c r="C38" s="42"/>
      <c r="D38" s="52"/>
      <c r="E38" s="52"/>
      <c r="F38" s="52"/>
      <c r="G38" s="52"/>
      <c r="H38" s="52"/>
      <c r="I38" s="52"/>
      <c r="J38" s="52"/>
      <c r="K38" s="52"/>
      <c r="L38" s="52"/>
    </row>
    <row r="39" spans="1:12" ht="12.75" customHeight="1" x14ac:dyDescent="0.25">
      <c r="A39" s="42" t="str">
        <f>'D4-FinPos'!A37</f>
        <v>Borrowing</v>
      </c>
      <c r="B39" s="42"/>
      <c r="C39" s="42"/>
      <c r="D39" s="163">
        <f>'D4-FinPos'!C37</f>
        <v>0</v>
      </c>
      <c r="E39" s="163">
        <f>'D4-FinPos'!D37</f>
        <v>0</v>
      </c>
      <c r="F39" s="163">
        <f>'D4-FinPos'!E37</f>
        <v>0</v>
      </c>
      <c r="G39" s="163">
        <f>'D4-FinPos'!F37</f>
        <v>0</v>
      </c>
      <c r="H39" s="90">
        <f>'D4-FinPos'!G37</f>
        <v>0</v>
      </c>
      <c r="I39" s="90">
        <f>'D4-FinPos'!H37</f>
        <v>0</v>
      </c>
      <c r="J39" s="90">
        <f>'D4-FinPos'!I37</f>
        <v>0</v>
      </c>
      <c r="K39" s="90">
        <f>'D4-FinPos'!J37</f>
        <v>0</v>
      </c>
      <c r="L39" s="90">
        <f>'D4-FinPos'!K37</f>
        <v>0</v>
      </c>
    </row>
    <row r="40" spans="1:12" ht="12.75" customHeight="1" x14ac:dyDescent="0.25">
      <c r="A40" s="42" t="str">
        <f>'D4-FinPos'!A25</f>
        <v>TOTAL ASSETS</v>
      </c>
      <c r="B40" s="42"/>
      <c r="C40" s="42"/>
      <c r="D40" s="163">
        <f>'D4-FinPos'!C25</f>
        <v>572000</v>
      </c>
      <c r="E40" s="163">
        <f>'D4-FinPos'!D25</f>
        <v>1232000</v>
      </c>
      <c r="F40" s="163">
        <f>'D4-FinPos'!E25</f>
        <v>480523</v>
      </c>
      <c r="G40" s="163">
        <f>'D4-FinPos'!F25</f>
        <v>471234</v>
      </c>
      <c r="H40" s="90">
        <f>'D4-FinPos'!G25</f>
        <v>0</v>
      </c>
      <c r="I40" s="90">
        <f>'D4-FinPos'!H25</f>
        <v>471234</v>
      </c>
      <c r="J40" s="90">
        <f>'D4-FinPos'!I25</f>
        <v>946357</v>
      </c>
      <c r="K40" s="90">
        <f>'D4-FinPos'!J25</f>
        <v>946357</v>
      </c>
      <c r="L40" s="90">
        <f>'D4-FinPos'!K25</f>
        <v>946357</v>
      </c>
    </row>
    <row r="41" spans="1:12" ht="12.75" customHeight="1" x14ac:dyDescent="0.25">
      <c r="A41" s="42" t="str">
        <f>'D2-FinPerf'!A28</f>
        <v>Finance charges</v>
      </c>
      <c r="B41" s="42"/>
      <c r="C41" s="42"/>
      <c r="D41" s="163">
        <f>'D2-FinPerf'!C28</f>
        <v>0</v>
      </c>
      <c r="E41" s="163">
        <f>'D2-FinPerf'!D28</f>
        <v>0</v>
      </c>
      <c r="F41" s="163">
        <f>'D2-FinPerf'!E28</f>
        <v>0</v>
      </c>
      <c r="G41" s="163">
        <f>'D2-FinPerf'!F28</f>
        <v>0</v>
      </c>
      <c r="H41" s="90">
        <f>'D2-FinPerf'!G28</f>
        <v>0</v>
      </c>
      <c r="I41" s="90">
        <f>'D2-FinPerf'!H28</f>
        <v>0</v>
      </c>
      <c r="J41" s="90">
        <f>'D2-FinPerf'!I28</f>
        <v>0</v>
      </c>
      <c r="K41" s="90">
        <f>'D2-FinPerf'!J28</f>
        <v>0</v>
      </c>
      <c r="L41" s="90">
        <f>'D2-FinPerf'!K28</f>
        <v>0</v>
      </c>
    </row>
    <row r="42" spans="1:12" ht="12.75" customHeight="1" x14ac:dyDescent="0.25">
      <c r="A42" s="42" t="str">
        <f>'D2-FinPerf'!A27</f>
        <v>Depreciation &amp; asset impairment</v>
      </c>
      <c r="B42" s="42"/>
      <c r="C42" s="42"/>
      <c r="D42" s="163">
        <f>'D2-FinPerf'!C26</f>
        <v>0</v>
      </c>
      <c r="E42" s="163">
        <f>'D2-FinPerf'!D26</f>
        <v>0</v>
      </c>
      <c r="F42" s="163">
        <f>'D2-FinPerf'!E26</f>
        <v>0</v>
      </c>
      <c r="G42" s="163">
        <f>'D2-FinPerf'!F26</f>
        <v>0</v>
      </c>
      <c r="H42" s="90">
        <f>'D2-FinPerf'!G26</f>
        <v>0</v>
      </c>
      <c r="I42" s="90">
        <f>'D2-FinPerf'!H26</f>
        <v>0</v>
      </c>
      <c r="J42" s="90">
        <f>'D2-FinPerf'!I26</f>
        <v>0</v>
      </c>
      <c r="K42" s="90">
        <f>'D2-FinPerf'!J26</f>
        <v>0</v>
      </c>
      <c r="L42" s="90">
        <f>'D2-FinPerf'!K26</f>
        <v>0</v>
      </c>
    </row>
    <row r="43" spans="1:12" ht="12.75" customHeight="1" x14ac:dyDescent="0.25">
      <c r="A43" s="42" t="str">
        <f>'D2-FinPerf'!A35</f>
        <v>Total Expenditure</v>
      </c>
      <c r="B43" s="42"/>
      <c r="C43" s="42"/>
      <c r="D43" s="163">
        <f>'D2-FinPerf'!C35</f>
        <v>5650000</v>
      </c>
      <c r="E43" s="163">
        <f>'D2-FinPerf'!D35</f>
        <v>5506000</v>
      </c>
      <c r="F43" s="163">
        <f>'D2-FinPerf'!E35</f>
        <v>6500000</v>
      </c>
      <c r="G43" s="163">
        <f>'D2-FinPerf'!F35</f>
        <v>6910835</v>
      </c>
      <c r="H43" s="90">
        <f>'D2-FinPerf'!G35</f>
        <v>0</v>
      </c>
      <c r="I43" s="90">
        <f>'D2-FinPerf'!H35</f>
        <v>6910835</v>
      </c>
      <c r="J43" s="90">
        <f>'D2-FinPerf'!I35</f>
        <v>7625358.5</v>
      </c>
      <c r="K43" s="90">
        <f>'D2-FinPerf'!J35</f>
        <v>8097044.4100000001</v>
      </c>
      <c r="L43" s="90">
        <f>'D2-FinPerf'!K35</f>
        <v>8596967.0300000012</v>
      </c>
    </row>
    <row r="44" spans="1:12" ht="12.75" customHeight="1" x14ac:dyDescent="0.25">
      <c r="A44" s="42" t="str">
        <f>'D5-CFlow'!A33</f>
        <v>Borrowing long term/refinancing</v>
      </c>
      <c r="B44" s="42"/>
      <c r="C44" s="42"/>
      <c r="D44" s="163">
        <f>'D5-CFlow'!C33</f>
        <v>0</v>
      </c>
      <c r="E44" s="163">
        <f>'D5-CFlow'!D33</f>
        <v>0</v>
      </c>
      <c r="F44" s="163">
        <f>'D5-CFlow'!E33</f>
        <v>0</v>
      </c>
      <c r="G44" s="163">
        <f>'D5-CFlow'!F33</f>
        <v>0</v>
      </c>
      <c r="H44" s="90">
        <f>'D5-CFlow'!G33</f>
        <v>0</v>
      </c>
      <c r="I44" s="90">
        <f>'D5-CFlow'!H33</f>
        <v>0</v>
      </c>
      <c r="J44" s="90">
        <f>'D5-CFlow'!I33</f>
        <v>0</v>
      </c>
      <c r="K44" s="90">
        <f>'D5-CFlow'!J33</f>
        <v>0</v>
      </c>
      <c r="L44" s="90">
        <f>'D5-CFlow'!K33</f>
        <v>0</v>
      </c>
    </row>
    <row r="45" spans="1:12" ht="12.75" customHeight="1" x14ac:dyDescent="0.25">
      <c r="A45" s="42" t="s">
        <v>908</v>
      </c>
      <c r="B45" s="42"/>
      <c r="C45" s="42"/>
      <c r="D45" s="163">
        <f>'D3-Capex'!C167</f>
        <v>61968</v>
      </c>
      <c r="E45" s="163">
        <f>'D3-Capex'!D167</f>
        <v>2000</v>
      </c>
      <c r="F45" s="163">
        <f>'D3-Capex'!E167</f>
        <v>2000</v>
      </c>
      <c r="G45" s="163">
        <f>'D3-Capex'!F167</f>
        <v>235000</v>
      </c>
      <c r="H45" s="90">
        <f>'D3-Capex'!G167</f>
        <v>0</v>
      </c>
      <c r="I45" s="90">
        <f>'D3-Capex'!H167</f>
        <v>235000</v>
      </c>
      <c r="J45" s="90">
        <f>'D3-Capex'!I167</f>
        <v>235000</v>
      </c>
      <c r="K45" s="90">
        <f>'D3-Capex'!J167</f>
        <v>235000</v>
      </c>
      <c r="L45" s="90">
        <f>'D3-Capex'!K167</f>
        <v>235000</v>
      </c>
    </row>
    <row r="46" spans="1:12" ht="12.75" customHeight="1" x14ac:dyDescent="0.25">
      <c r="A46" s="42" t="s">
        <v>441</v>
      </c>
      <c r="B46" s="42"/>
      <c r="C46" s="42"/>
      <c r="D46" s="163">
        <f>'D3-Capex'!C174</f>
        <v>0</v>
      </c>
      <c r="E46" s="163">
        <f>'D3-Capex'!D174</f>
        <v>0</v>
      </c>
      <c r="F46" s="163">
        <f>'D3-Capex'!E174</f>
        <v>0</v>
      </c>
      <c r="G46" s="163">
        <f>'D3-Capex'!F174</f>
        <v>0</v>
      </c>
      <c r="H46" s="90">
        <f>'D3-Capex'!G174</f>
        <v>0</v>
      </c>
      <c r="I46" s="90">
        <f>'D3-Capex'!H174</f>
        <v>0</v>
      </c>
      <c r="J46" s="90">
        <f>'D3-Capex'!I174</f>
        <v>0</v>
      </c>
      <c r="K46" s="90">
        <f>'D3-Capex'!J174</f>
        <v>0</v>
      </c>
      <c r="L46" s="90">
        <f>'D3-Capex'!K174</f>
        <v>0</v>
      </c>
    </row>
    <row r="47" spans="1:12" ht="12.75" customHeight="1" x14ac:dyDescent="0.25">
      <c r="A47" s="42" t="s">
        <v>44</v>
      </c>
      <c r="B47" s="42"/>
      <c r="C47" s="42"/>
      <c r="D47" s="163">
        <f>'D3-Capex'!C175</f>
        <v>0</v>
      </c>
      <c r="E47" s="163">
        <f>'D3-Capex'!D175</f>
        <v>0</v>
      </c>
      <c r="F47" s="163">
        <f>'D3-Capex'!E175</f>
        <v>0</v>
      </c>
      <c r="G47" s="163">
        <f>'D3-Capex'!F175</f>
        <v>0</v>
      </c>
      <c r="H47" s="90">
        <f>'D3-Capex'!G175</f>
        <v>0</v>
      </c>
      <c r="I47" s="90">
        <f>'D3-Capex'!H175</f>
        <v>0</v>
      </c>
      <c r="J47" s="90">
        <f>'D3-Capex'!I175</f>
        <v>0</v>
      </c>
      <c r="K47" s="90">
        <f>'D3-Capex'!J175</f>
        <v>0</v>
      </c>
      <c r="L47" s="90">
        <f>'D3-Capex'!K175</f>
        <v>0</v>
      </c>
    </row>
    <row r="48" spans="1:12" ht="12.75" customHeight="1" x14ac:dyDescent="0.25">
      <c r="A48" s="42" t="s">
        <v>477</v>
      </c>
      <c r="B48" s="42"/>
      <c r="C48" s="42"/>
      <c r="D48" s="163">
        <f>'D4-FinPos'!C37+'D4-FinPos'!C32+'D4-FinPos'!C29+'D4-FinPos'!C30</f>
        <v>1642000</v>
      </c>
      <c r="E48" s="163">
        <f>'D4-FinPos'!D37+'D4-FinPos'!D32+'D4-FinPos'!D29+'D4-FinPos'!D30</f>
        <v>2060029</v>
      </c>
      <c r="F48" s="163">
        <f>'D4-FinPos'!E37+'D4-FinPos'!E32+'D4-FinPos'!E29+'D4-FinPos'!E30</f>
        <v>1643155</v>
      </c>
      <c r="G48" s="163">
        <f>'D4-FinPos'!F37+'D4-FinPos'!F32+'D4-FinPos'!F29+'D4-FinPos'!F30</f>
        <v>2087539</v>
      </c>
      <c r="H48" s="90">
        <f>'D4-FinPos'!G37+'D4-FinPos'!G32+'D4-FinPos'!G29+'D4-FinPos'!G30</f>
        <v>0</v>
      </c>
      <c r="I48" s="90">
        <f>'D4-FinPos'!H37+'D4-FinPos'!H32+'D4-FinPos'!H29+'D4-FinPos'!H30</f>
        <v>2087539</v>
      </c>
      <c r="J48" s="90">
        <f>'D4-FinPos'!I37+'D4-FinPos'!I32+'D4-FinPos'!I29+'D4-FinPos'!I30</f>
        <v>1643155</v>
      </c>
      <c r="K48" s="90">
        <f>'D4-FinPos'!J37+'D4-FinPos'!J32+'D4-FinPos'!J29+'D4-FinPos'!J30</f>
        <v>1643155</v>
      </c>
      <c r="L48" s="90">
        <f>'D4-FinPos'!K37+'D4-FinPos'!K32+'D4-FinPos'!K29+'D4-FinPos'!K30</f>
        <v>1643155</v>
      </c>
    </row>
    <row r="49" spans="1:12" ht="12.75" customHeight="1" x14ac:dyDescent="0.25">
      <c r="A49" s="42" t="str">
        <f>'D4-FinPos'!A48</f>
        <v>TOTAL COMMUNITY WEALTH/EQUITY</v>
      </c>
      <c r="B49" s="42"/>
      <c r="C49" s="42"/>
      <c r="D49" s="163">
        <f>'D4-FinPos'!C48</f>
        <v>0</v>
      </c>
      <c r="E49" s="163">
        <f>'D4-FinPos'!D48</f>
        <v>0</v>
      </c>
      <c r="F49" s="163">
        <f>'D4-FinPos'!E48</f>
        <v>0</v>
      </c>
      <c r="G49" s="163">
        <f>'D4-FinPos'!F48</f>
        <v>0</v>
      </c>
      <c r="H49" s="90">
        <f>'D4-FinPos'!G48</f>
        <v>0</v>
      </c>
      <c r="I49" s="90">
        <f>'D4-FinPos'!H48</f>
        <v>0</v>
      </c>
      <c r="J49" s="90">
        <f>'D4-FinPos'!I48</f>
        <v>0</v>
      </c>
      <c r="K49" s="90">
        <f>'D4-FinPos'!J48</f>
        <v>0</v>
      </c>
      <c r="L49" s="90">
        <f>'D4-FinPos'!K48</f>
        <v>0</v>
      </c>
    </row>
    <row r="50" spans="1:12" ht="12.75" customHeight="1" x14ac:dyDescent="0.25">
      <c r="A50" s="42" t="str">
        <f>'D4-FinPos'!A37</f>
        <v>Borrowing</v>
      </c>
      <c r="B50" s="42"/>
      <c r="C50" s="42"/>
      <c r="D50" s="163">
        <f>'D4-FinPos'!C37</f>
        <v>0</v>
      </c>
      <c r="E50" s="163">
        <f>'D4-FinPos'!D37</f>
        <v>0</v>
      </c>
      <c r="F50" s="163">
        <f>'D4-FinPos'!E37</f>
        <v>0</v>
      </c>
      <c r="G50" s="163">
        <f>'D4-FinPos'!F37</f>
        <v>0</v>
      </c>
      <c r="H50" s="163">
        <f>'D4-FinPos'!G37</f>
        <v>0</v>
      </c>
      <c r="I50" s="163">
        <f>'D4-FinPos'!H37</f>
        <v>0</v>
      </c>
      <c r="J50" s="163">
        <f>'D4-FinPos'!I37</f>
        <v>0</v>
      </c>
      <c r="K50" s="163">
        <f>'D4-FinPos'!J37</f>
        <v>0</v>
      </c>
      <c r="L50" s="163">
        <f>'D4-FinPos'!K37</f>
        <v>0</v>
      </c>
    </row>
    <row r="51" spans="1:12" ht="12.75" customHeight="1" x14ac:dyDescent="0.25">
      <c r="A51" s="42" t="str">
        <f>'D4-FinPos'!A12</f>
        <v>Total current assets</v>
      </c>
      <c r="B51" s="42"/>
      <c r="C51" s="42"/>
      <c r="D51" s="163">
        <f>'D4-FinPos'!C12</f>
        <v>431000</v>
      </c>
      <c r="E51" s="163">
        <f>'D4-FinPos'!D12</f>
        <v>1145000</v>
      </c>
      <c r="F51" s="163">
        <f>'D4-FinPos'!E12</f>
        <v>407000</v>
      </c>
      <c r="G51" s="163">
        <f>'D4-FinPos'!F12</f>
        <v>236234</v>
      </c>
      <c r="H51" s="163">
        <f>'D4-FinPos'!G12</f>
        <v>0</v>
      </c>
      <c r="I51" s="163">
        <f>'D4-FinPos'!H12</f>
        <v>236234</v>
      </c>
      <c r="J51" s="163">
        <f>'D4-FinPos'!I12</f>
        <v>711357</v>
      </c>
      <c r="K51" s="163">
        <f>'D4-FinPos'!J12</f>
        <v>711357</v>
      </c>
      <c r="L51" s="163">
        <f>'D4-FinPos'!K12</f>
        <v>711357</v>
      </c>
    </row>
    <row r="52" spans="1:12" ht="12.75" customHeight="1" x14ac:dyDescent="0.25">
      <c r="A52" s="42" t="str">
        <f>'D4-FinPos'!A34</f>
        <v>Total current liabilities</v>
      </c>
      <c r="B52" s="42"/>
      <c r="C52" s="42"/>
      <c r="D52" s="163">
        <f>'D4-FinPos'!C34</f>
        <v>1642000</v>
      </c>
      <c r="E52" s="163">
        <f>'D4-FinPos'!D34</f>
        <v>2060029</v>
      </c>
      <c r="F52" s="163">
        <f>'D4-FinPos'!E34</f>
        <v>1643155</v>
      </c>
      <c r="G52" s="163">
        <f>'D4-FinPos'!F34</f>
        <v>2087539</v>
      </c>
      <c r="H52" s="163">
        <f>'D4-FinPos'!G34</f>
        <v>0</v>
      </c>
      <c r="I52" s="163">
        <f>'D4-FinPos'!H34</f>
        <v>2087539</v>
      </c>
      <c r="J52" s="163">
        <f>'D4-FinPos'!I34</f>
        <v>1643155</v>
      </c>
      <c r="K52" s="163">
        <f>'D4-FinPos'!J34</f>
        <v>1643155</v>
      </c>
      <c r="L52" s="163">
        <f>'D4-FinPos'!K34</f>
        <v>1643155</v>
      </c>
    </row>
    <row r="53" spans="1:12" ht="12.75" customHeight="1" x14ac:dyDescent="0.25">
      <c r="A53" s="42" t="s">
        <v>478</v>
      </c>
      <c r="B53" s="42"/>
      <c r="C53" s="42"/>
      <c r="D53" s="292"/>
      <c r="E53" s="292"/>
      <c r="F53" s="292"/>
      <c r="G53" s="292"/>
      <c r="H53" s="292"/>
      <c r="I53" s="292"/>
      <c r="J53" s="292"/>
      <c r="K53" s="292"/>
      <c r="L53" s="292"/>
    </row>
    <row r="54" spans="1:12" ht="12.75" customHeight="1" x14ac:dyDescent="0.25">
      <c r="A54" s="42" t="s">
        <v>479</v>
      </c>
      <c r="B54" s="42"/>
      <c r="C54" s="42"/>
      <c r="D54" s="163">
        <f>'D4-FinPos'!C6+'D4-FinPos'!C7-'D4-FinPos'!C29</f>
        <v>431000</v>
      </c>
      <c r="E54" s="163">
        <f>'D4-FinPos'!D6+'D4-FinPos'!D7-'D4-FinPos'!D29</f>
        <v>1145000</v>
      </c>
      <c r="F54" s="163">
        <f>'D4-FinPos'!E6+'D4-FinPos'!E7-'D4-FinPos'!E29</f>
        <v>407000</v>
      </c>
      <c r="G54" s="163">
        <f>'D4-FinPos'!F6+'D4-FinPos'!F7-'D4-FinPos'!F29</f>
        <v>236234</v>
      </c>
      <c r="H54" s="90">
        <f>'D4-FinPos'!G6+'D4-FinPos'!G7-'D4-FinPos'!G29</f>
        <v>0</v>
      </c>
      <c r="I54" s="90">
        <f>'D4-FinPos'!H6+'D4-FinPos'!H7-'D4-FinPos'!H29</f>
        <v>236234</v>
      </c>
      <c r="J54" s="90">
        <f>'D4-FinPos'!I6+'D4-FinPos'!I7-'D4-FinPos'!I29</f>
        <v>711357</v>
      </c>
      <c r="K54" s="90">
        <f>'D4-FinPos'!J6+'D4-FinPos'!J7-'D4-FinPos'!J29</f>
        <v>711357</v>
      </c>
      <c r="L54" s="90">
        <f>'D4-FinPos'!K6+'D4-FinPos'!K7-'D4-FinPos'!K29</f>
        <v>711357</v>
      </c>
    </row>
    <row r="55" spans="1:12" ht="12.75" customHeight="1" x14ac:dyDescent="0.25">
      <c r="A55" s="42" t="s">
        <v>480</v>
      </c>
      <c r="B55" s="42"/>
      <c r="C55" s="42"/>
      <c r="D55" s="163"/>
      <c r="E55" s="163">
        <f>'D5-CFlow'!C6</f>
        <v>0</v>
      </c>
      <c r="F55" s="163">
        <f>'D5-CFlow'!D6</f>
        <v>0</v>
      </c>
      <c r="G55" s="163">
        <f>'D5-CFlow'!E6</f>
        <v>0</v>
      </c>
      <c r="H55" s="90">
        <f>'D5-CFlow'!F6</f>
        <v>0</v>
      </c>
      <c r="I55" s="90">
        <f>'D5-CFlow'!G6</f>
        <v>0</v>
      </c>
      <c r="J55" s="90">
        <f>'D5-CFlow'!H6</f>
        <v>0</v>
      </c>
      <c r="K55" s="90">
        <f>'D5-CFlow'!I6</f>
        <v>0</v>
      </c>
      <c r="L55" s="90">
        <f>'D5-CFlow'!J6</f>
        <v>0</v>
      </c>
    </row>
    <row r="56" spans="1:12" ht="12.75" customHeight="1" x14ac:dyDescent="0.25">
      <c r="A56" s="42" t="s">
        <v>481</v>
      </c>
      <c r="B56" s="42"/>
      <c r="C56" s="42"/>
      <c r="D56" s="163"/>
      <c r="E56" s="163">
        <f>SUM('D2-FinPerf'!C5:C11)+SUM('D2-FinPerf'!C15:C17)+'D2-FinPerf'!C19</f>
        <v>4859000</v>
      </c>
      <c r="F56" s="163">
        <f>SUM('D2-FinPerf'!D5:D11)+SUM('D2-FinPerf'!D15:D17)+'D2-FinPerf'!D19</f>
        <v>5625000</v>
      </c>
      <c r="G56" s="163">
        <f>SUM('D2-FinPerf'!E5:E11)+SUM('D2-FinPerf'!E15:E17)+'D2-FinPerf'!E19</f>
        <v>6735000</v>
      </c>
      <c r="H56" s="90">
        <f>SUM('D2-FinPerf'!F5:F11)+SUM('D2-FinPerf'!F15:F17)+'D2-FinPerf'!F19</f>
        <v>7145835</v>
      </c>
      <c r="I56" s="90">
        <f>SUM('D2-FinPerf'!G5:G11)+SUM('D2-FinPerf'!G15:G17)+'D2-FinPerf'!G19</f>
        <v>0</v>
      </c>
      <c r="J56" s="90">
        <f>SUM('D2-FinPerf'!H5:H11)+SUM('D2-FinPerf'!H15:H17)+'D2-FinPerf'!H19</f>
        <v>7145835</v>
      </c>
      <c r="K56" s="90">
        <f>SUM('D2-FinPerf'!I5:I11)+SUM('D2-FinPerf'!I15:I17)+'D2-FinPerf'!I19</f>
        <v>7860418.5</v>
      </c>
      <c r="L56" s="90">
        <f>SUM('D2-FinPerf'!J5:J11)+SUM('D2-FinPerf'!J15:J17)+'D2-FinPerf'!J19</f>
        <v>8332043.6100000003</v>
      </c>
    </row>
    <row r="57" spans="1:12" ht="12.75" customHeight="1" x14ac:dyDescent="0.25">
      <c r="A57" s="42" t="s">
        <v>482</v>
      </c>
      <c r="B57" s="42"/>
      <c r="C57" s="42"/>
      <c r="D57" s="163">
        <f>'D4-FinPos'!C8+'D4-FinPos'!C9+'D4-FinPos'!C10+'D4-FinPos'!C15</f>
        <v>0</v>
      </c>
      <c r="E57" s="163">
        <f>'D4-FinPos'!D8+'D4-FinPos'!D9+'D4-FinPos'!D10+'D4-FinPos'!D15</f>
        <v>0</v>
      </c>
      <c r="F57" s="163">
        <f>'D4-FinPos'!E8+'D4-FinPos'!E9+'D4-FinPos'!E10+'D4-FinPos'!E15</f>
        <v>0</v>
      </c>
      <c r="G57" s="163">
        <f>'D4-FinPos'!F8+'D4-FinPos'!F9+'D4-FinPos'!F10+'D4-FinPos'!F15</f>
        <v>0</v>
      </c>
      <c r="H57" s="90">
        <f>'D4-FinPos'!G8+'D4-FinPos'!G9+'D4-FinPos'!G10+'D4-FinPos'!G15</f>
        <v>0</v>
      </c>
      <c r="I57" s="90">
        <f>'D4-FinPos'!H8+'D4-FinPos'!H9+'D4-FinPos'!H10+'D4-FinPos'!H15</f>
        <v>0</v>
      </c>
      <c r="J57" s="90">
        <f>'D4-FinPos'!I8+'D4-FinPos'!I9+'D4-FinPos'!I10+'D4-FinPos'!I15</f>
        <v>0</v>
      </c>
      <c r="K57" s="90">
        <f>'D4-FinPos'!J8+'D4-FinPos'!J9+'D4-FinPos'!J10+'D4-FinPos'!J15</f>
        <v>0</v>
      </c>
      <c r="L57" s="90">
        <f>'D4-FinPos'!K8+'D4-FinPos'!K9+'D4-FinPos'!K10+'D4-FinPos'!K15</f>
        <v>0</v>
      </c>
    </row>
    <row r="58" spans="1:12" ht="12.75" customHeight="1" x14ac:dyDescent="0.25">
      <c r="A58" s="42" t="str">
        <f>'D2-FinPerf'!A21</f>
        <v>Total Revenue (excluding capital transfers and contributions)</v>
      </c>
      <c r="B58" s="42"/>
      <c r="C58" s="42"/>
      <c r="D58" s="163">
        <f>'D2-FinPerf'!C21</f>
        <v>4859000</v>
      </c>
      <c r="E58" s="163">
        <f>'D2-FinPerf'!D21</f>
        <v>5625000</v>
      </c>
      <c r="F58" s="163">
        <f>'D2-FinPerf'!E21</f>
        <v>6735000</v>
      </c>
      <c r="G58" s="163">
        <f>'D2-FinPerf'!F21</f>
        <v>7145835</v>
      </c>
      <c r="H58" s="90">
        <f>'D2-FinPerf'!G21</f>
        <v>0</v>
      </c>
      <c r="I58" s="90">
        <f>'D2-FinPerf'!H21</f>
        <v>7145835</v>
      </c>
      <c r="J58" s="90">
        <f>'D2-FinPerf'!I21</f>
        <v>7860418.5</v>
      </c>
      <c r="K58" s="90">
        <f>'D2-FinPerf'!J21</f>
        <v>8332043.6100000003</v>
      </c>
      <c r="L58" s="90">
        <f>'D2-FinPerf'!K21</f>
        <v>8831966.2300000004</v>
      </c>
    </row>
    <row r="59" spans="1:12" ht="12.75" customHeight="1" x14ac:dyDescent="0.25">
      <c r="A59" s="42" t="str">
        <f>'D2-FinPerf'!A24</f>
        <v>Employee related costs</v>
      </c>
      <c r="B59" s="42"/>
      <c r="C59" s="42"/>
      <c r="D59" s="163">
        <f>'D2-FinPerf'!C24</f>
        <v>3231000</v>
      </c>
      <c r="E59" s="163">
        <f>'D2-FinPerf'!D24</f>
        <v>2654000</v>
      </c>
      <c r="F59" s="163">
        <f>'D2-FinPerf'!E24</f>
        <v>3465000</v>
      </c>
      <c r="G59" s="163">
        <f>'D2-FinPerf'!F24</f>
        <v>3597681.05</v>
      </c>
      <c r="H59" s="90">
        <f>'D2-FinPerf'!G24</f>
        <v>0</v>
      </c>
      <c r="I59" s="90">
        <f>'D2-FinPerf'!H24</f>
        <v>3597681.05</v>
      </c>
      <c r="J59" s="90">
        <f>'D2-FinPerf'!I24</f>
        <v>4633750.8</v>
      </c>
      <c r="K59" s="90">
        <f>'D2-FinPerf'!J24</f>
        <v>4932480.95</v>
      </c>
      <c r="L59" s="90">
        <f>'D2-FinPerf'!K24</f>
        <v>5254005.99</v>
      </c>
    </row>
    <row r="60" spans="1:12" ht="12.75" customHeight="1" x14ac:dyDescent="0.25">
      <c r="A60" s="42" t="s">
        <v>483</v>
      </c>
      <c r="B60" s="42"/>
      <c r="C60" s="42"/>
      <c r="D60" s="163">
        <f>'D2-FinPerf'!C48</f>
        <v>0</v>
      </c>
      <c r="E60" s="163">
        <f>'D2-FinPerf'!D48</f>
        <v>0</v>
      </c>
      <c r="F60" s="163">
        <f>'D2-FinPerf'!E48</f>
        <v>0</v>
      </c>
      <c r="G60" s="163">
        <f>'D2-FinPerf'!F48</f>
        <v>0</v>
      </c>
      <c r="H60" s="90">
        <f>'D2-FinPerf'!G48</f>
        <v>0</v>
      </c>
      <c r="I60" s="90">
        <f>'D2-FinPerf'!H48</f>
        <v>0</v>
      </c>
      <c r="J60" s="90">
        <f>'D2-FinPerf'!I48</f>
        <v>0</v>
      </c>
      <c r="K60" s="90">
        <f>'D2-FinPerf'!J48</f>
        <v>0</v>
      </c>
      <c r="L60" s="90">
        <f>'D2-FinPerf'!K48</f>
        <v>0</v>
      </c>
    </row>
    <row r="61" spans="1:12" ht="12.75" customHeight="1" x14ac:dyDescent="0.25">
      <c r="A61" s="42" t="s">
        <v>484</v>
      </c>
      <c r="B61" s="42"/>
      <c r="C61" s="42"/>
      <c r="D61" s="163">
        <f>D58-'D2-FinPerf'!C18</f>
        <v>4859000</v>
      </c>
      <c r="E61" s="163">
        <f>E58-'D2-FinPerf'!D18</f>
        <v>5625000</v>
      </c>
      <c r="F61" s="163">
        <f>F58-'D2-FinPerf'!E18</f>
        <v>6735000</v>
      </c>
      <c r="G61" s="163">
        <f>G58-'D2-FinPerf'!F18</f>
        <v>7145835</v>
      </c>
      <c r="H61" s="90">
        <f>H58-'D2-FinPerf'!G18</f>
        <v>0</v>
      </c>
      <c r="I61" s="90">
        <f>I58-'D2-FinPerf'!H18</f>
        <v>7145835</v>
      </c>
      <c r="J61" s="90">
        <f>J58-'D2-FinPerf'!I18</f>
        <v>7860418.5</v>
      </c>
      <c r="K61" s="90">
        <f>K58-'D2-FinPerf'!J18</f>
        <v>8332043.6100000003</v>
      </c>
      <c r="L61" s="90">
        <f>L58-'D2-FinPerf'!K18</f>
        <v>8831966.2300000004</v>
      </c>
    </row>
    <row r="62" spans="1:12" ht="12.75" customHeight="1" x14ac:dyDescent="0.25">
      <c r="A62" s="42" t="s">
        <v>485</v>
      </c>
      <c r="B62" s="42"/>
      <c r="C62" s="42"/>
      <c r="D62" s="292">
        <f>-('D5-CFlow'!D15+'D5-CFlow'!D36)</f>
        <v>12000</v>
      </c>
      <c r="E62" s="292">
        <f>-('D5-CFlow'!E15+'D5-CFlow'!E36)</f>
        <v>0</v>
      </c>
      <c r="F62" s="292">
        <f>-('D5-CFlow'!F15+'D5-CFlow'!F36)</f>
        <v>0</v>
      </c>
      <c r="G62" s="292">
        <f>-('D5-CFlow'!G15+'D5-CFlow'!G36)</f>
        <v>0</v>
      </c>
      <c r="H62" s="292">
        <f>-('D5-CFlow'!H15+'D5-CFlow'!H36)</f>
        <v>0</v>
      </c>
      <c r="I62" s="292">
        <f>-('D5-CFlow'!I15+'D5-CFlow'!I36)</f>
        <v>0</v>
      </c>
      <c r="J62" s="292">
        <f>-('D5-CFlow'!J15+'D5-CFlow'!J36)</f>
        <v>0</v>
      </c>
      <c r="K62" s="292">
        <f>-('D5-CFlow'!K15+'D5-CFlow'!K36)</f>
        <v>0</v>
      </c>
      <c r="L62" s="292">
        <f>-('D5-CFlow'!L15+'D5-CFlow'!L36)</f>
        <v>0</v>
      </c>
    </row>
    <row r="63" spans="1:12" ht="12.75" customHeight="1" x14ac:dyDescent="0.25">
      <c r="A63" s="42" t="s">
        <v>486</v>
      </c>
      <c r="B63" s="42"/>
      <c r="C63" s="42"/>
      <c r="D63" s="163">
        <f>'D4-FinPos'!C8+'D4-FinPos'!C10+'D4-FinPos'!C15</f>
        <v>0</v>
      </c>
      <c r="E63" s="163">
        <f>'D4-FinPos'!D8+'D4-FinPos'!D10+'D4-FinPos'!D15</f>
        <v>0</v>
      </c>
      <c r="F63" s="163">
        <f>'D4-FinPos'!E8+'D4-FinPos'!E10+'D4-FinPos'!E15</f>
        <v>0</v>
      </c>
      <c r="G63" s="163">
        <f>'D4-FinPos'!F8+'D4-FinPos'!F10+'D4-FinPos'!F15</f>
        <v>0</v>
      </c>
      <c r="H63" s="90">
        <f>'D4-FinPos'!G8+'D4-FinPos'!G10+'D4-FinPos'!G15</f>
        <v>0</v>
      </c>
      <c r="I63" s="90">
        <f>'D4-FinPos'!H8+'D4-FinPos'!H10+'D4-FinPos'!H15</f>
        <v>0</v>
      </c>
      <c r="J63" s="90">
        <f>'D4-FinPos'!I8+'D4-FinPos'!I10+'D4-FinPos'!I15</f>
        <v>0</v>
      </c>
      <c r="K63" s="90">
        <f>'D4-FinPos'!J8+'D4-FinPos'!J10+'D4-FinPos'!J15</f>
        <v>0</v>
      </c>
      <c r="L63" s="90">
        <f>'D4-FinPos'!K8+'D4-FinPos'!K10+'D4-FinPos'!K15</f>
        <v>0</v>
      </c>
    </row>
    <row r="64" spans="1:12" ht="12.75" customHeight="1" x14ac:dyDescent="0.25">
      <c r="A64" s="42" t="s">
        <v>487</v>
      </c>
      <c r="B64" s="42"/>
      <c r="C64" s="42"/>
      <c r="D64" s="163">
        <f>SUM('D2-FinPerf'!C5:C10)</f>
        <v>0</v>
      </c>
      <c r="E64" s="163">
        <f>SUM('D2-FinPerf'!D5:D10)</f>
        <v>0</v>
      </c>
      <c r="F64" s="163">
        <f>SUM('D2-FinPerf'!E5:E10)</f>
        <v>0</v>
      </c>
      <c r="G64" s="163">
        <f>SUM('D2-FinPerf'!F5:F10)</f>
        <v>0</v>
      </c>
      <c r="H64" s="90">
        <f>SUM('D2-FinPerf'!G5:G10)</f>
        <v>0</v>
      </c>
      <c r="I64" s="90">
        <f>SUM('D2-FinPerf'!H5:H10)</f>
        <v>0</v>
      </c>
      <c r="J64" s="90">
        <f>SUM('D2-FinPerf'!I5:I10)</f>
        <v>0</v>
      </c>
      <c r="K64" s="90">
        <f>SUM('D2-FinPerf'!J5:J10)</f>
        <v>0</v>
      </c>
      <c r="L64" s="90">
        <f>SUM('D2-FinPerf'!K5:K10)</f>
        <v>0</v>
      </c>
    </row>
    <row r="65" spans="1:12" ht="12.75" customHeight="1" x14ac:dyDescent="0.25">
      <c r="A65" s="42" t="s">
        <v>488</v>
      </c>
      <c r="B65" s="42"/>
      <c r="C65" s="42"/>
      <c r="D65" s="163">
        <f>'D4-FinPos'!C6+'D4-FinPos'!C7-'D4-FinPos'!C29</f>
        <v>431000</v>
      </c>
      <c r="E65" s="163">
        <f>'D4-FinPos'!D6+'D4-FinPos'!D7-'D4-FinPos'!D29</f>
        <v>1145000</v>
      </c>
      <c r="F65" s="163">
        <f>'D4-FinPos'!E6+'D4-FinPos'!E7-'D4-FinPos'!E29</f>
        <v>407000</v>
      </c>
      <c r="G65" s="163">
        <f>'D4-FinPos'!F6+'D4-FinPos'!F7-'D4-FinPos'!F29</f>
        <v>236234</v>
      </c>
      <c r="H65" s="90">
        <f>'D4-FinPos'!G6+'D4-FinPos'!G7-'D4-FinPos'!G29</f>
        <v>0</v>
      </c>
      <c r="I65" s="90">
        <f>'D4-FinPos'!H6+'D4-FinPos'!H7-'D4-FinPos'!H29</f>
        <v>236234</v>
      </c>
      <c r="J65" s="90">
        <f>'D4-FinPos'!I6+'D4-FinPos'!I7-'D4-FinPos'!I29</f>
        <v>711357</v>
      </c>
      <c r="K65" s="90">
        <f>'D4-FinPos'!J6+'D4-FinPos'!J7-'D4-FinPos'!J29</f>
        <v>711357</v>
      </c>
      <c r="L65" s="90">
        <f>'D4-FinPos'!K6+'D4-FinPos'!K7-'D4-FinPos'!K29</f>
        <v>711357</v>
      </c>
    </row>
    <row r="66" spans="1:12" ht="12.75" customHeight="1" x14ac:dyDescent="0.25">
      <c r="A66" s="20" t="s">
        <v>490</v>
      </c>
      <c r="D66" s="163">
        <f>('D2-FinPerf'!C24+'D2-FinPerf'!C25+'D2-FinPerf'!C27+'D2-FinPerf'!C28+'D2-FinPerf'!C29+'D2-FinPerf'!C30+'D2-FinPerf'!C31+'D2-FinPerf'!C32+'D2-FinPerf'!C33)*'SD2'!D67</f>
        <v>3390000</v>
      </c>
      <c r="E66" s="163">
        <f>('D2-FinPerf'!D24+'D2-FinPerf'!D25+'D2-FinPerf'!D27+'D2-FinPerf'!D28+'D2-FinPerf'!D29+'D2-FinPerf'!D30+'D2-FinPerf'!D31+'D2-FinPerf'!D32+'D2-FinPerf'!D33)*'SD2'!E67</f>
        <v>3303600</v>
      </c>
      <c r="F66" s="163">
        <f>('D2-FinPerf'!E24+'D2-FinPerf'!E25+'D2-FinPerf'!E27+'D2-FinPerf'!E28+'D2-FinPerf'!E29+'D2-FinPerf'!E30+'D2-FinPerf'!E31+'D2-FinPerf'!E32+'D2-FinPerf'!E33)*'SD2'!F67</f>
        <v>3900000</v>
      </c>
      <c r="G66" s="163">
        <f>('D2-FinPerf'!F24+'D2-FinPerf'!F25+'D2-FinPerf'!F27+'D2-FinPerf'!F28+'D2-FinPerf'!F29+'D2-FinPerf'!F30+'D2-FinPerf'!F31+'D2-FinPerf'!F32+'D2-FinPerf'!F33)*'SD2'!G67</f>
        <v>4146501</v>
      </c>
      <c r="H66" s="90">
        <f>('D2-FinPerf'!G24+'D2-FinPerf'!G25+'D2-FinPerf'!G27+'D2-FinPerf'!G28+'D2-FinPerf'!G29+'D2-FinPerf'!G30+'D2-FinPerf'!G31+'D2-FinPerf'!G32+'D2-FinPerf'!G33)*'SD2'!H67</f>
        <v>0</v>
      </c>
      <c r="I66" s="90">
        <f>('D2-FinPerf'!H24+'D2-FinPerf'!H25+'D2-FinPerf'!H27+'D2-FinPerf'!H28+'D2-FinPerf'!H29+'D2-FinPerf'!H30+'D2-FinPerf'!H31+'D2-FinPerf'!H32+'D2-FinPerf'!H33)*'SD2'!I67</f>
        <v>4146501</v>
      </c>
      <c r="J66" s="90">
        <f>('D2-FinPerf'!I24+'D2-FinPerf'!I25+'D2-FinPerf'!I27+'D2-FinPerf'!I28+'D2-FinPerf'!I29+'D2-FinPerf'!I30+'D2-FinPerf'!I31+'D2-FinPerf'!I32+'D2-FinPerf'!I33)*'SD2'!J67</f>
        <v>4575215.0999999996</v>
      </c>
      <c r="K66" s="90">
        <f>('D2-FinPerf'!J24+'D2-FinPerf'!J25+'D2-FinPerf'!J27+'D2-FinPerf'!J28+'D2-FinPerf'!J29+'D2-FinPerf'!J30+'D2-FinPerf'!J31+'D2-FinPerf'!J32+'D2-FinPerf'!J33)*'SD2'!K67</f>
        <v>4858226.6459999997</v>
      </c>
      <c r="L66" s="90">
        <f>('D2-FinPerf'!K24+'D2-FinPerf'!K25+'D2-FinPerf'!K27+'D2-FinPerf'!K28+'D2-FinPerf'!K29+'D2-FinPerf'!K30+'D2-FinPerf'!K31+'D2-FinPerf'!K32+'D2-FinPerf'!K33)*'SD2'!L67</f>
        <v>5158180.2180000003</v>
      </c>
    </row>
    <row r="67" spans="1:12" ht="12.75" customHeight="1" x14ac:dyDescent="0.25">
      <c r="A67" s="20" t="s">
        <v>489</v>
      </c>
      <c r="D67" s="512">
        <v>0.6</v>
      </c>
      <c r="E67" s="512">
        <f>D67</f>
        <v>0.6</v>
      </c>
      <c r="F67" s="512">
        <f t="shared" ref="F67:L67" si="16">E67</f>
        <v>0.6</v>
      </c>
      <c r="G67" s="512">
        <f t="shared" si="16"/>
        <v>0.6</v>
      </c>
      <c r="H67" s="512">
        <f t="shared" si="16"/>
        <v>0.6</v>
      </c>
      <c r="I67" s="512">
        <f t="shared" si="16"/>
        <v>0.6</v>
      </c>
      <c r="J67" s="512">
        <f t="shared" si="16"/>
        <v>0.6</v>
      </c>
      <c r="K67" s="512">
        <f t="shared" si="16"/>
        <v>0.6</v>
      </c>
      <c r="L67" s="512">
        <f t="shared" si="16"/>
        <v>0.6</v>
      </c>
    </row>
    <row r="68" spans="1:12" ht="12.75" customHeight="1" x14ac:dyDescent="0.25">
      <c r="D68" s="52"/>
      <c r="E68" s="52"/>
      <c r="F68" s="52"/>
      <c r="G68" s="52"/>
      <c r="H68" s="52"/>
      <c r="I68" s="52"/>
      <c r="J68" s="52"/>
      <c r="K68" s="52"/>
      <c r="L68" s="52"/>
    </row>
    <row r="69" spans="1:12" ht="12.75" customHeight="1" x14ac:dyDescent="0.25">
      <c r="D69" s="52"/>
      <c r="E69" s="52"/>
      <c r="F69" s="52"/>
      <c r="G69" s="52"/>
      <c r="H69" s="52"/>
      <c r="I69" s="52"/>
      <c r="J69" s="52"/>
      <c r="K69" s="52"/>
      <c r="L69" s="52"/>
    </row>
    <row r="70" spans="1:12" ht="12.75" customHeight="1" x14ac:dyDescent="0.25">
      <c r="D70" s="52"/>
      <c r="E70" s="52"/>
      <c r="F70" s="52"/>
      <c r="G70" s="52"/>
      <c r="H70" s="52"/>
      <c r="I70" s="52"/>
      <c r="J70" s="52"/>
      <c r="K70" s="52"/>
      <c r="L70" s="52"/>
    </row>
    <row r="71" spans="1:12" ht="12.75" customHeight="1" x14ac:dyDescent="0.25">
      <c r="D71" s="52"/>
      <c r="E71" s="52"/>
      <c r="F71" s="52"/>
      <c r="G71" s="52"/>
      <c r="H71" s="52"/>
      <c r="I71" s="52"/>
      <c r="J71" s="52"/>
      <c r="K71" s="52"/>
      <c r="L71" s="52"/>
    </row>
    <row r="72" spans="1:12" ht="12.75" customHeight="1" x14ac:dyDescent="0.25">
      <c r="D72" s="52"/>
      <c r="E72" s="52"/>
      <c r="F72" s="52"/>
      <c r="G72" s="52"/>
      <c r="H72" s="52"/>
      <c r="I72" s="52"/>
      <c r="J72" s="52"/>
      <c r="K72" s="52"/>
      <c r="L72" s="52"/>
    </row>
    <row r="73" spans="1:12" ht="12.75" customHeight="1" x14ac:dyDescent="0.25">
      <c r="D73" s="52"/>
      <c r="E73" s="52"/>
      <c r="F73" s="52"/>
      <c r="G73" s="52"/>
      <c r="H73" s="52"/>
      <c r="I73" s="52"/>
      <c r="J73" s="52"/>
      <c r="K73" s="52"/>
      <c r="L73" s="52"/>
    </row>
    <row r="74" spans="1:12" ht="12.75" customHeight="1" x14ac:dyDescent="0.25">
      <c r="D74" s="52"/>
      <c r="E74" s="52"/>
      <c r="F74" s="52"/>
      <c r="G74" s="52"/>
      <c r="H74" s="52"/>
      <c r="I74" s="52"/>
      <c r="J74" s="52"/>
      <c r="K74" s="52"/>
      <c r="L74" s="52"/>
    </row>
    <row r="75" spans="1:12" ht="12.75" customHeight="1" x14ac:dyDescent="0.25">
      <c r="D75" s="52"/>
      <c r="E75" s="52"/>
      <c r="F75" s="52"/>
      <c r="G75" s="52"/>
      <c r="H75" s="52"/>
      <c r="I75" s="52"/>
      <c r="J75" s="52"/>
      <c r="K75" s="52"/>
      <c r="L75" s="52"/>
    </row>
    <row r="76" spans="1:12" ht="12.75" customHeight="1" x14ac:dyDescent="0.25">
      <c r="D76" s="52"/>
      <c r="E76" s="52"/>
      <c r="F76" s="52"/>
      <c r="G76" s="52"/>
      <c r="H76" s="52"/>
      <c r="I76" s="52"/>
      <c r="J76" s="52"/>
      <c r="K76" s="52"/>
      <c r="L76" s="52"/>
    </row>
    <row r="77" spans="1:12" ht="12.75" customHeight="1" x14ac:dyDescent="0.25">
      <c r="D77" s="52"/>
      <c r="E77" s="52"/>
      <c r="F77" s="52"/>
      <c r="G77" s="52"/>
      <c r="H77" s="52"/>
      <c r="I77" s="52"/>
      <c r="J77" s="52"/>
      <c r="K77" s="52"/>
      <c r="L77" s="52"/>
    </row>
    <row r="78" spans="1:12" ht="12.75" customHeight="1" x14ac:dyDescent="0.25">
      <c r="D78" s="52"/>
      <c r="E78" s="52"/>
      <c r="F78" s="52"/>
      <c r="G78" s="52"/>
      <c r="H78" s="52"/>
      <c r="I78" s="52"/>
      <c r="J78" s="52"/>
      <c r="K78" s="52"/>
      <c r="L78" s="52"/>
    </row>
    <row r="79" spans="1:12" ht="12.75" customHeight="1" x14ac:dyDescent="0.25">
      <c r="D79" s="52"/>
      <c r="E79" s="52"/>
      <c r="F79" s="52"/>
      <c r="G79" s="52"/>
      <c r="H79" s="52"/>
      <c r="I79" s="52"/>
      <c r="J79" s="52"/>
      <c r="K79" s="52"/>
      <c r="L79" s="52"/>
    </row>
    <row r="80" spans="1:12" ht="12.75" customHeight="1" x14ac:dyDescent="0.25">
      <c r="D80" s="52"/>
      <c r="E80" s="52"/>
      <c r="F80" s="52"/>
      <c r="G80" s="52"/>
      <c r="H80" s="52"/>
      <c r="I80" s="52"/>
      <c r="J80" s="52"/>
      <c r="K80" s="52"/>
      <c r="L80" s="52"/>
    </row>
    <row r="81" spans="4:12" ht="12.75" customHeight="1" x14ac:dyDescent="0.25">
      <c r="D81" s="52"/>
      <c r="E81" s="52"/>
      <c r="F81" s="52"/>
      <c r="G81" s="52"/>
      <c r="H81" s="52"/>
      <c r="I81" s="52"/>
      <c r="J81" s="52"/>
      <c r="K81" s="52"/>
      <c r="L81" s="52"/>
    </row>
    <row r="82" spans="4:12" ht="12.75" customHeight="1" x14ac:dyDescent="0.25">
      <c r="D82" s="52"/>
      <c r="E82" s="52"/>
      <c r="F82" s="52"/>
      <c r="G82" s="52"/>
      <c r="H82" s="52"/>
      <c r="I82" s="52"/>
      <c r="J82" s="52"/>
      <c r="K82" s="52"/>
      <c r="L82" s="52"/>
    </row>
    <row r="83" spans="4:12" ht="12.75" customHeight="1" x14ac:dyDescent="0.25">
      <c r="D83" s="52"/>
      <c r="E83" s="52"/>
      <c r="F83" s="52"/>
      <c r="G83" s="52"/>
      <c r="H83" s="52"/>
      <c r="I83" s="52"/>
      <c r="J83" s="52"/>
      <c r="K83" s="52"/>
      <c r="L83" s="52"/>
    </row>
    <row r="84" spans="4:12" ht="12.75" customHeight="1" x14ac:dyDescent="0.25">
      <c r="D84" s="52"/>
      <c r="E84" s="52"/>
      <c r="F84" s="52"/>
      <c r="G84" s="52"/>
      <c r="H84" s="52"/>
      <c r="I84" s="52"/>
      <c r="J84" s="52"/>
      <c r="K84" s="52"/>
      <c r="L84" s="52"/>
    </row>
    <row r="85" spans="4:12" ht="12.75" customHeight="1" x14ac:dyDescent="0.25">
      <c r="D85" s="52"/>
      <c r="E85" s="52"/>
      <c r="F85" s="52"/>
      <c r="G85" s="52"/>
      <c r="H85" s="52"/>
      <c r="I85" s="52"/>
      <c r="J85" s="52"/>
      <c r="K85" s="52"/>
      <c r="L85" s="52"/>
    </row>
    <row r="86" spans="4:12" ht="12.75" customHeight="1" x14ac:dyDescent="0.25">
      <c r="D86" s="52"/>
      <c r="E86" s="52"/>
      <c r="F86" s="52"/>
      <c r="G86" s="52"/>
      <c r="H86" s="52"/>
      <c r="I86" s="52"/>
      <c r="J86" s="52"/>
      <c r="K86" s="52"/>
      <c r="L86" s="52"/>
    </row>
    <row r="87" spans="4:12" ht="12.75" customHeight="1" x14ac:dyDescent="0.25">
      <c r="D87" s="52"/>
      <c r="E87" s="52"/>
      <c r="F87" s="52"/>
      <c r="G87" s="52"/>
      <c r="H87" s="52"/>
      <c r="I87" s="52"/>
      <c r="J87" s="52"/>
      <c r="K87" s="52"/>
      <c r="L87" s="52"/>
    </row>
    <row r="88" spans="4:12" ht="12.75" customHeight="1" x14ac:dyDescent="0.25">
      <c r="D88" s="52"/>
      <c r="E88" s="52"/>
      <c r="F88" s="52"/>
      <c r="G88" s="52"/>
      <c r="H88" s="52"/>
      <c r="I88" s="52"/>
      <c r="J88" s="52"/>
      <c r="K88" s="52"/>
      <c r="L88" s="52"/>
    </row>
    <row r="89" spans="4:12" ht="12.75" customHeight="1" x14ac:dyDescent="0.25">
      <c r="D89" s="52"/>
      <c r="E89" s="52"/>
      <c r="F89" s="52"/>
      <c r="G89" s="52"/>
      <c r="H89" s="52"/>
      <c r="I89" s="52"/>
      <c r="J89" s="52"/>
      <c r="K89" s="52"/>
      <c r="L89" s="52"/>
    </row>
    <row r="90" spans="4:12" ht="12.75" customHeight="1" x14ac:dyDescent="0.25">
      <c r="D90" s="52"/>
      <c r="E90" s="52"/>
      <c r="F90" s="52"/>
      <c r="G90" s="52"/>
      <c r="H90" s="52"/>
      <c r="I90" s="52"/>
      <c r="J90" s="52"/>
      <c r="K90" s="52"/>
      <c r="L90" s="52"/>
    </row>
    <row r="91" spans="4:12" ht="12.75" customHeight="1" x14ac:dyDescent="0.25">
      <c r="D91" s="52"/>
      <c r="E91" s="52"/>
      <c r="F91" s="52"/>
      <c r="G91" s="52"/>
      <c r="H91" s="52"/>
      <c r="I91" s="52"/>
      <c r="J91" s="52"/>
      <c r="K91" s="52"/>
      <c r="L91" s="52"/>
    </row>
    <row r="92" spans="4:12" ht="12.75" customHeight="1" x14ac:dyDescent="0.25">
      <c r="D92" s="52"/>
      <c r="E92" s="52"/>
      <c r="F92" s="52"/>
      <c r="G92" s="52"/>
      <c r="H92" s="52"/>
      <c r="I92" s="52"/>
      <c r="J92" s="52"/>
      <c r="K92" s="52"/>
      <c r="L92" s="52"/>
    </row>
    <row r="93" spans="4:12" ht="12.75" customHeight="1" x14ac:dyDescent="0.25">
      <c r="D93" s="52"/>
      <c r="E93" s="52"/>
      <c r="F93" s="52"/>
      <c r="G93" s="52"/>
      <c r="H93" s="52"/>
      <c r="I93" s="52"/>
      <c r="J93" s="52"/>
      <c r="K93" s="52"/>
      <c r="L93" s="52"/>
    </row>
    <row r="94" spans="4:12" ht="12.75" customHeight="1" x14ac:dyDescent="0.25">
      <c r="D94" s="52"/>
      <c r="E94" s="52"/>
      <c r="F94" s="52"/>
      <c r="G94" s="52"/>
      <c r="H94" s="52"/>
      <c r="I94" s="52"/>
      <c r="J94" s="52"/>
      <c r="K94" s="52"/>
      <c r="L94" s="52"/>
    </row>
    <row r="95" spans="4:12" ht="12.75" customHeight="1" x14ac:dyDescent="0.25">
      <c r="D95" s="52"/>
      <c r="E95" s="52"/>
      <c r="F95" s="52"/>
      <c r="G95" s="52"/>
      <c r="H95" s="52"/>
      <c r="I95" s="52"/>
      <c r="J95" s="52"/>
      <c r="K95" s="52"/>
      <c r="L95" s="52"/>
    </row>
    <row r="96" spans="4:12" ht="12.75" customHeight="1" x14ac:dyDescent="0.25">
      <c r="D96" s="52"/>
      <c r="E96" s="52"/>
      <c r="F96" s="52"/>
      <c r="G96" s="52"/>
      <c r="H96" s="52"/>
      <c r="I96" s="52"/>
      <c r="J96" s="52"/>
      <c r="K96" s="52"/>
      <c r="L96" s="52"/>
    </row>
    <row r="97" spans="4:12" ht="12.75" customHeight="1" x14ac:dyDescent="0.25">
      <c r="D97" s="52"/>
      <c r="E97" s="52"/>
      <c r="F97" s="52"/>
      <c r="G97" s="52"/>
      <c r="H97" s="52"/>
      <c r="I97" s="52"/>
      <c r="J97" s="52"/>
      <c r="K97" s="52"/>
      <c r="L97" s="52"/>
    </row>
    <row r="98" spans="4:12" ht="12.75" customHeight="1" x14ac:dyDescent="0.25">
      <c r="D98" s="52"/>
      <c r="E98" s="52"/>
      <c r="F98" s="52"/>
      <c r="G98" s="52"/>
      <c r="H98" s="52"/>
      <c r="I98" s="52"/>
      <c r="J98" s="52"/>
      <c r="K98" s="52"/>
      <c r="L98" s="52"/>
    </row>
    <row r="99" spans="4:12" ht="12.75" customHeight="1" x14ac:dyDescent="0.25">
      <c r="D99" s="52"/>
      <c r="E99" s="52"/>
      <c r="F99" s="52"/>
      <c r="G99" s="52"/>
      <c r="H99" s="52"/>
      <c r="I99" s="52"/>
      <c r="J99" s="52"/>
      <c r="K99" s="52"/>
      <c r="L99" s="52"/>
    </row>
  </sheetData>
  <sheetProtection sheet="1" objects="1" scenarios="1"/>
  <mergeCells count="13">
    <mergeCell ref="K3:K4"/>
    <mergeCell ref="L3:L4"/>
    <mergeCell ref="C2:C3"/>
    <mergeCell ref="F3:F4"/>
    <mergeCell ref="G3:G4"/>
    <mergeCell ref="H3:H4"/>
    <mergeCell ref="I3:I4"/>
    <mergeCell ref="G2:I2"/>
    <mergeCell ref="A2:A3"/>
    <mergeCell ref="B2:B3"/>
    <mergeCell ref="D3:D4"/>
    <mergeCell ref="E3:E4"/>
    <mergeCell ref="J3:J4"/>
  </mergeCells>
  <phoneticPr fontId="2" type="noConversion"/>
  <printOptions horizontalCentered="1"/>
  <pageMargins left="0.35433070866141736" right="0.15748031496062992" top="0.78740157480314965" bottom="0.59055118110236227" header="0.51181102362204722" footer="0.39370078740157483"/>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tabColor rgb="FFCCFFCC"/>
    <pageSetUpPr fitToPage="1"/>
  </sheetPr>
  <dimension ref="A1:O61"/>
  <sheetViews>
    <sheetView showGridLines="0" zoomScaleNormal="100" workbookViewId="0">
      <pane xSplit="2" ySplit="4" topLeftCell="C5" activePane="bottomRight" state="frozen"/>
      <selection activeCell="M29" sqref="M29"/>
      <selection pane="topRight" activeCell="M29" sqref="M29"/>
      <selection pane="bottomLeft" activeCell="M29" sqref="M29"/>
      <selection pane="bottomRight" activeCell="M29" sqref="M29"/>
    </sheetView>
  </sheetViews>
  <sheetFormatPr defaultRowHeight="12.75" x14ac:dyDescent="0.25"/>
  <cols>
    <col min="1" max="1" width="30.7109375" style="20" customWidth="1"/>
    <col min="2" max="2" width="3.140625" style="43" customWidth="1"/>
    <col min="3" max="5" width="15.7109375" style="20" customWidth="1"/>
    <col min="6" max="9" width="8.7109375" style="20" customWidth="1"/>
    <col min="10" max="10" width="9.85546875" style="20" customWidth="1"/>
    <col min="11" max="11" width="9.85546875" style="20" bestFit="1" customWidth="1"/>
    <col min="12" max="13" width="9.85546875" style="20" customWidth="1"/>
    <col min="14" max="14" width="9.5703125" style="20" customWidth="1"/>
    <col min="15" max="15" width="9.85546875" style="20" customWidth="1"/>
    <col min="16" max="18" width="9.5703125" style="20" customWidth="1"/>
    <col min="19" max="19" width="9.85546875" style="20" customWidth="1"/>
    <col min="20" max="22" width="9.5703125" style="20" customWidth="1"/>
    <col min="23" max="24" width="9.85546875" style="20" customWidth="1"/>
    <col min="25" max="16384" width="9.140625" style="20"/>
  </cols>
  <sheetData>
    <row r="1" spans="1:9" ht="13.5" x14ac:dyDescent="0.25">
      <c r="A1" s="112" t="str">
        <f>_MEB5</f>
        <v>GREATER TZANEEN ECONOMIC DEVELOPMENT AGENCY - Supporting Table SD3 Budgeted Investment Portfolio</v>
      </c>
    </row>
    <row r="2" spans="1:9" x14ac:dyDescent="0.25">
      <c r="A2" s="643" t="s">
        <v>384</v>
      </c>
      <c r="B2" s="632" t="str">
        <f>head27</f>
        <v>Ref</v>
      </c>
      <c r="C2" s="98" t="str">
        <f>Head9</f>
        <v>Budget Year 2018/19</v>
      </c>
      <c r="D2" s="98"/>
      <c r="E2" s="98"/>
      <c r="F2" s="98"/>
      <c r="G2" s="98"/>
      <c r="H2" s="98"/>
      <c r="I2" s="99"/>
    </row>
    <row r="3" spans="1:9" x14ac:dyDescent="0.25">
      <c r="A3" s="642"/>
      <c r="B3" s="633"/>
      <c r="C3" s="198" t="s">
        <v>321</v>
      </c>
      <c r="D3" s="630" t="s">
        <v>322</v>
      </c>
      <c r="E3" s="635" t="s">
        <v>148</v>
      </c>
      <c r="F3" s="196" t="s">
        <v>369</v>
      </c>
      <c r="G3" s="197"/>
      <c r="H3" s="196" t="s">
        <v>372</v>
      </c>
      <c r="I3" s="197"/>
    </row>
    <row r="4" spans="1:9" ht="25.5" x14ac:dyDescent="0.25">
      <c r="A4" s="151" t="s">
        <v>206</v>
      </c>
      <c r="B4" s="140"/>
      <c r="C4" s="194" t="s">
        <v>325</v>
      </c>
      <c r="D4" s="631"/>
      <c r="E4" s="636"/>
      <c r="F4" s="162" t="s">
        <v>370</v>
      </c>
      <c r="G4" s="195" t="s">
        <v>371</v>
      </c>
      <c r="H4" s="155" t="s">
        <v>373</v>
      </c>
      <c r="I4" s="195" t="s">
        <v>323</v>
      </c>
    </row>
    <row r="5" spans="1:9" ht="12.75" customHeight="1" x14ac:dyDescent="0.25">
      <c r="A5" s="297"/>
      <c r="B5" s="317"/>
      <c r="C5" s="292"/>
      <c r="D5" s="298"/>
      <c r="E5" s="299"/>
      <c r="F5" s="272"/>
      <c r="G5" s="271"/>
      <c r="H5" s="272"/>
      <c r="I5" s="271"/>
    </row>
    <row r="6" spans="1:9" ht="12.75" customHeight="1" x14ac:dyDescent="0.25">
      <c r="A6" s="297"/>
      <c r="B6" s="317"/>
      <c r="C6" s="292"/>
      <c r="D6" s="298"/>
      <c r="E6" s="299"/>
      <c r="F6" s="272"/>
      <c r="G6" s="271"/>
      <c r="H6" s="272"/>
      <c r="I6" s="271"/>
    </row>
    <row r="7" spans="1:9" ht="12.75" customHeight="1" x14ac:dyDescent="0.25">
      <c r="A7" s="297"/>
      <c r="B7" s="317"/>
      <c r="C7" s="292"/>
      <c r="D7" s="298"/>
      <c r="E7" s="299"/>
      <c r="F7" s="272"/>
      <c r="G7" s="271"/>
      <c r="H7" s="272"/>
      <c r="I7" s="271"/>
    </row>
    <row r="8" spans="1:9" ht="12.75" customHeight="1" x14ac:dyDescent="0.25">
      <c r="A8" s="297"/>
      <c r="B8" s="317"/>
      <c r="C8" s="292"/>
      <c r="D8" s="298"/>
      <c r="E8" s="299"/>
      <c r="F8" s="272"/>
      <c r="G8" s="271"/>
      <c r="H8" s="272"/>
      <c r="I8" s="271"/>
    </row>
    <row r="9" spans="1:9" ht="12.75" customHeight="1" x14ac:dyDescent="0.25">
      <c r="A9" s="297"/>
      <c r="B9" s="317"/>
      <c r="C9" s="292"/>
      <c r="D9" s="298"/>
      <c r="E9" s="299"/>
      <c r="F9" s="272"/>
      <c r="G9" s="271"/>
      <c r="H9" s="272"/>
      <c r="I9" s="271"/>
    </row>
    <row r="10" spans="1:9" ht="12.75" customHeight="1" x14ac:dyDescent="0.25">
      <c r="A10" s="297"/>
      <c r="B10" s="317"/>
      <c r="C10" s="292"/>
      <c r="D10" s="298"/>
      <c r="E10" s="299"/>
      <c r="F10" s="272"/>
      <c r="G10" s="271"/>
      <c r="H10" s="272"/>
      <c r="I10" s="271"/>
    </row>
    <row r="11" spans="1:9" ht="12.75" customHeight="1" x14ac:dyDescent="0.25">
      <c r="A11" s="297"/>
      <c r="B11" s="317"/>
      <c r="C11" s="292"/>
      <c r="D11" s="298"/>
      <c r="E11" s="299"/>
      <c r="F11" s="272"/>
      <c r="G11" s="271"/>
      <c r="H11" s="272"/>
      <c r="I11" s="271"/>
    </row>
    <row r="12" spans="1:9" ht="12.75" customHeight="1" x14ac:dyDescent="0.25">
      <c r="A12" s="297"/>
      <c r="B12" s="317"/>
      <c r="C12" s="292"/>
      <c r="D12" s="298"/>
      <c r="E12" s="299"/>
      <c r="F12" s="272"/>
      <c r="G12" s="271"/>
      <c r="H12" s="272"/>
      <c r="I12" s="271"/>
    </row>
    <row r="13" spans="1:9" ht="12.75" customHeight="1" x14ac:dyDescent="0.25">
      <c r="A13" s="297"/>
      <c r="B13" s="317"/>
      <c r="C13" s="292"/>
      <c r="D13" s="298"/>
      <c r="E13" s="299"/>
      <c r="F13" s="272"/>
      <c r="G13" s="271"/>
      <c r="H13" s="272"/>
      <c r="I13" s="271"/>
    </row>
    <row r="14" spans="1:9" ht="12.75" customHeight="1" x14ac:dyDescent="0.25">
      <c r="A14" s="297"/>
      <c r="B14" s="317"/>
      <c r="C14" s="292"/>
      <c r="D14" s="298"/>
      <c r="E14" s="299"/>
      <c r="F14" s="272"/>
      <c r="G14" s="271"/>
      <c r="H14" s="272"/>
      <c r="I14" s="271"/>
    </row>
    <row r="15" spans="1:9" ht="12.75" customHeight="1" x14ac:dyDescent="0.25">
      <c r="A15" s="297"/>
      <c r="B15" s="317"/>
      <c r="C15" s="292"/>
      <c r="D15" s="298"/>
      <c r="E15" s="299"/>
      <c r="F15" s="272"/>
      <c r="G15" s="271"/>
      <c r="H15" s="272"/>
      <c r="I15" s="271"/>
    </row>
    <row r="16" spans="1:9" ht="12.75" customHeight="1" x14ac:dyDescent="0.25">
      <c r="A16" s="297"/>
      <c r="B16" s="317"/>
      <c r="C16" s="292"/>
      <c r="D16" s="298"/>
      <c r="E16" s="299"/>
      <c r="F16" s="272"/>
      <c r="G16" s="271"/>
      <c r="H16" s="272"/>
      <c r="I16" s="271"/>
    </row>
    <row r="17" spans="1:15" ht="12.75" customHeight="1" x14ac:dyDescent="0.25">
      <c r="A17" s="297"/>
      <c r="B17" s="317"/>
      <c r="C17" s="292"/>
      <c r="D17" s="298"/>
      <c r="E17" s="299"/>
      <c r="F17" s="272"/>
      <c r="G17" s="271"/>
      <c r="H17" s="272"/>
      <c r="I17" s="271"/>
    </row>
    <row r="18" spans="1:15" ht="12.75" customHeight="1" x14ac:dyDescent="0.25">
      <c r="A18" s="297"/>
      <c r="B18" s="317"/>
      <c r="C18" s="292"/>
      <c r="D18" s="298"/>
      <c r="E18" s="299"/>
      <c r="F18" s="272"/>
      <c r="G18" s="271"/>
      <c r="H18" s="272"/>
      <c r="I18" s="271"/>
    </row>
    <row r="19" spans="1:15" ht="12.75" customHeight="1" x14ac:dyDescent="0.25">
      <c r="A19" s="297"/>
      <c r="B19" s="317"/>
      <c r="C19" s="292"/>
      <c r="D19" s="298"/>
      <c r="E19" s="299"/>
      <c r="F19" s="272"/>
      <c r="G19" s="271"/>
      <c r="H19" s="272"/>
      <c r="I19" s="271"/>
    </row>
    <row r="20" spans="1:15" ht="12.75" customHeight="1" x14ac:dyDescent="0.25">
      <c r="A20" s="297"/>
      <c r="B20" s="317"/>
      <c r="C20" s="292"/>
      <c r="D20" s="298"/>
      <c r="E20" s="299"/>
      <c r="F20" s="272"/>
      <c r="G20" s="271"/>
      <c r="H20" s="272"/>
      <c r="I20" s="271"/>
    </row>
    <row r="21" spans="1:15" ht="12.75" customHeight="1" x14ac:dyDescent="0.25">
      <c r="A21" s="297"/>
      <c r="B21" s="317"/>
      <c r="C21" s="292"/>
      <c r="D21" s="298"/>
      <c r="E21" s="299"/>
      <c r="F21" s="272"/>
      <c r="G21" s="271"/>
      <c r="H21" s="272"/>
      <c r="I21" s="271"/>
    </row>
    <row r="22" spans="1:15" ht="12.75" customHeight="1" x14ac:dyDescent="0.25">
      <c r="A22" s="297"/>
      <c r="B22" s="317"/>
      <c r="C22" s="292"/>
      <c r="D22" s="298"/>
      <c r="E22" s="299"/>
      <c r="F22" s="272"/>
      <c r="G22" s="271"/>
      <c r="H22" s="272"/>
      <c r="I22" s="271"/>
    </row>
    <row r="23" spans="1:15" ht="12.75" customHeight="1" x14ac:dyDescent="0.25">
      <c r="A23" s="297"/>
      <c r="B23" s="317"/>
      <c r="C23" s="292"/>
      <c r="D23" s="298"/>
      <c r="E23" s="299"/>
      <c r="F23" s="272"/>
      <c r="G23" s="271"/>
      <c r="H23" s="272"/>
      <c r="I23" s="271"/>
    </row>
    <row r="24" spans="1:15" ht="12.75" customHeight="1" x14ac:dyDescent="0.25">
      <c r="A24" s="32"/>
      <c r="B24" s="134">
        <v>1</v>
      </c>
      <c r="C24" s="528"/>
      <c r="D24" s="529"/>
      <c r="E24" s="530"/>
      <c r="F24" s="34">
        <f>SUM(F5:F23)</f>
        <v>0</v>
      </c>
      <c r="G24" s="133">
        <f>SUM(G5:G23)</f>
        <v>0</v>
      </c>
      <c r="H24" s="34">
        <f>SUM(H5:H23)</f>
        <v>0</v>
      </c>
      <c r="I24" s="534"/>
    </row>
    <row r="25" spans="1:15" ht="12.75" customHeight="1" x14ac:dyDescent="0.25">
      <c r="A25" s="35" t="str">
        <f>head27a</f>
        <v>References</v>
      </c>
      <c r="B25" s="36"/>
      <c r="C25" s="52"/>
      <c r="D25" s="52"/>
      <c r="E25" s="52"/>
      <c r="F25" s="52"/>
      <c r="G25" s="52"/>
      <c r="H25" s="52"/>
      <c r="I25" s="52"/>
      <c r="M25" s="42"/>
      <c r="N25" s="42"/>
      <c r="O25" s="42"/>
    </row>
    <row r="26" spans="1:15" ht="12.75" customHeight="1" x14ac:dyDescent="0.25">
      <c r="A26" s="47" t="s">
        <v>451</v>
      </c>
      <c r="B26" s="36"/>
      <c r="C26" s="39"/>
      <c r="D26" s="38"/>
      <c r="E26" s="39"/>
      <c r="F26" s="39"/>
      <c r="G26" s="39"/>
      <c r="H26" s="39"/>
      <c r="I26" s="39"/>
    </row>
    <row r="27" spans="1:15" ht="11.25" customHeight="1" x14ac:dyDescent="0.25">
      <c r="A27" s="49"/>
      <c r="B27" s="36"/>
      <c r="C27" s="52"/>
      <c r="D27" s="52"/>
      <c r="E27" s="52"/>
      <c r="F27" s="52"/>
      <c r="G27" s="52"/>
      <c r="H27" s="52"/>
      <c r="I27" s="52"/>
    </row>
    <row r="28" spans="1:15" ht="11.25" customHeight="1" x14ac:dyDescent="0.25"/>
    <row r="29" spans="1:15" ht="11.25" customHeight="1" x14ac:dyDescent="0.25"/>
    <row r="30" spans="1:15" ht="11.25" customHeight="1" x14ac:dyDescent="0.25"/>
    <row r="31" spans="1:15" ht="11.25" customHeight="1" x14ac:dyDescent="0.25"/>
    <row r="32" spans="1:15"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4">
    <mergeCell ref="E3:E4"/>
    <mergeCell ref="D3:D4"/>
    <mergeCell ref="A2:A3"/>
    <mergeCell ref="B2:B3"/>
  </mergeCells>
  <phoneticPr fontId="2" type="noConversion"/>
  <printOptions horizontalCentered="1"/>
  <pageMargins left="0.35" right="0.17" top="0.78" bottom="0.62" header="0.51181102362204722" footer="0.39"/>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tabColor rgb="FFCCFFCC"/>
    <pageSetUpPr fitToPage="1"/>
  </sheetPr>
  <dimension ref="A1:M145"/>
  <sheetViews>
    <sheetView showGridLines="0" zoomScaleNormal="100" workbookViewId="0">
      <pane xSplit="2" ySplit="5" topLeftCell="C27" activePane="bottomRight" state="frozen"/>
      <selection activeCell="M29" sqref="M29"/>
      <selection pane="topRight" activeCell="M29" sqref="M29"/>
      <selection pane="bottomLeft" activeCell="M29" sqref="M29"/>
      <selection pane="bottomRight" activeCell="H59" sqref="H59"/>
    </sheetView>
  </sheetViews>
  <sheetFormatPr defaultRowHeight="12.75" x14ac:dyDescent="0.25"/>
  <cols>
    <col min="1" max="1" width="37.7109375" style="20" customWidth="1"/>
    <col min="2" max="2" width="3.140625" style="43" customWidth="1"/>
    <col min="3" max="11" width="8.7109375" style="20" customWidth="1"/>
    <col min="12" max="12" width="29.42578125" style="20" bestFit="1" customWidth="1"/>
    <col min="13" max="13" width="9.5703125" style="20" customWidth="1"/>
    <col min="14" max="14" width="9.85546875" style="20" customWidth="1"/>
    <col min="15" max="17" width="9.5703125" style="20" customWidth="1"/>
    <col min="18" max="19" width="9.85546875" style="20" customWidth="1"/>
    <col min="20" max="16384" width="9.140625" style="20"/>
  </cols>
  <sheetData>
    <row r="1" spans="1:11" ht="13.5" x14ac:dyDescent="0.25">
      <c r="A1" s="112" t="str">
        <f>MEB5a</f>
        <v>GREATER TZANEEN ECONOMIC DEVELOPMENT AGENCY - Supporting Table SD4 Board member allowances and staff benefits</v>
      </c>
    </row>
    <row r="2" spans="1:11" ht="25.5" x14ac:dyDescent="0.25">
      <c r="A2" s="644" t="s">
        <v>374</v>
      </c>
      <c r="B2" s="632"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1" x14ac:dyDescent="0.25">
      <c r="A3" s="645"/>
      <c r="B3" s="633"/>
      <c r="C3" s="628" t="str">
        <f>Head5</f>
        <v>Audited Outcome</v>
      </c>
      <c r="D3" s="630" t="str">
        <f>Head5</f>
        <v>Audited Outcome</v>
      </c>
      <c r="E3" s="635" t="str">
        <f>Head5</f>
        <v>Audited Outcome</v>
      </c>
      <c r="F3" s="637" t="str">
        <f>Head6</f>
        <v>Original Budget</v>
      </c>
      <c r="G3" s="639" t="str">
        <f>Head7</f>
        <v>Adjusted Budget</v>
      </c>
      <c r="H3" s="635" t="str">
        <f>Head8</f>
        <v>Full Year Forecast</v>
      </c>
      <c r="I3" s="637" t="str">
        <f>Head9</f>
        <v>Budget Year 2018/19</v>
      </c>
      <c r="J3" s="639" t="str">
        <f>Head10</f>
        <v>Budget Year +1 2019/20</v>
      </c>
      <c r="K3" s="635" t="str">
        <f>Head11</f>
        <v>Budget Year +2 2020/21</v>
      </c>
    </row>
    <row r="4" spans="1:11" x14ac:dyDescent="0.25">
      <c r="A4" s="645"/>
      <c r="B4" s="633"/>
      <c r="C4" s="629"/>
      <c r="D4" s="631"/>
      <c r="E4" s="636"/>
      <c r="F4" s="638"/>
      <c r="G4" s="640"/>
      <c r="H4" s="636"/>
      <c r="I4" s="646"/>
      <c r="J4" s="640"/>
      <c r="K4" s="636"/>
    </row>
    <row r="5" spans="1:11" x14ac:dyDescent="0.25">
      <c r="A5" s="151" t="s">
        <v>206</v>
      </c>
      <c r="B5" s="140"/>
      <c r="C5" s="199" t="s">
        <v>129</v>
      </c>
      <c r="D5" s="200" t="s">
        <v>86</v>
      </c>
      <c r="E5" s="201" t="s">
        <v>43</v>
      </c>
      <c r="F5" s="199" t="s">
        <v>146</v>
      </c>
      <c r="G5" s="200" t="s">
        <v>21</v>
      </c>
      <c r="H5" s="201" t="s">
        <v>22</v>
      </c>
      <c r="I5" s="199" t="s">
        <v>23</v>
      </c>
      <c r="J5" s="200" t="s">
        <v>149</v>
      </c>
      <c r="K5" s="201" t="s">
        <v>150</v>
      </c>
    </row>
    <row r="6" spans="1:11" ht="12.75" customHeight="1" x14ac:dyDescent="0.25">
      <c r="A6" s="22" t="s">
        <v>210</v>
      </c>
      <c r="B6" s="114"/>
      <c r="C6" s="28"/>
      <c r="D6" s="27"/>
      <c r="E6" s="105"/>
      <c r="F6" s="28"/>
      <c r="G6" s="27"/>
      <c r="H6" s="105"/>
      <c r="I6" s="28"/>
      <c r="J6" s="27"/>
      <c r="K6" s="105"/>
    </row>
    <row r="7" spans="1:11" ht="12.75" customHeight="1" x14ac:dyDescent="0.25">
      <c r="A7" s="55" t="s">
        <v>107</v>
      </c>
      <c r="B7" s="114"/>
      <c r="C7" s="28"/>
      <c r="D7" s="27"/>
      <c r="E7" s="105"/>
      <c r="F7" s="28"/>
      <c r="G7" s="27"/>
      <c r="H7" s="105"/>
      <c r="I7" s="28"/>
      <c r="J7" s="27"/>
      <c r="K7" s="105"/>
    </row>
    <row r="8" spans="1:11" ht="12.75" customHeight="1" x14ac:dyDescent="0.25">
      <c r="A8" s="24" t="s">
        <v>893</v>
      </c>
      <c r="B8" s="114"/>
      <c r="C8" s="272"/>
      <c r="D8" s="270"/>
      <c r="E8" s="271"/>
      <c r="F8" s="272"/>
      <c r="G8" s="270"/>
      <c r="H8" s="271"/>
      <c r="I8" s="272"/>
      <c r="J8" s="270"/>
      <c r="K8" s="271"/>
    </row>
    <row r="9" spans="1:11" ht="12.75" customHeight="1" x14ac:dyDescent="0.25">
      <c r="A9" s="24" t="s">
        <v>889</v>
      </c>
      <c r="B9" s="114"/>
      <c r="C9" s="272"/>
      <c r="D9" s="270"/>
      <c r="E9" s="271"/>
      <c r="F9" s="272"/>
      <c r="G9" s="270"/>
      <c r="H9" s="271"/>
      <c r="I9" s="272"/>
      <c r="J9" s="270"/>
      <c r="K9" s="271"/>
    </row>
    <row r="10" spans="1:11" ht="12.75" customHeight="1" x14ac:dyDescent="0.25">
      <c r="A10" s="24" t="s">
        <v>0</v>
      </c>
      <c r="B10" s="114"/>
      <c r="C10" s="272"/>
      <c r="D10" s="270"/>
      <c r="E10" s="271"/>
      <c r="F10" s="272"/>
      <c r="G10" s="270"/>
      <c r="H10" s="271"/>
      <c r="I10" s="272"/>
      <c r="J10" s="270"/>
      <c r="K10" s="271"/>
    </row>
    <row r="11" spans="1:11" ht="12.75" customHeight="1" x14ac:dyDescent="0.25">
      <c r="A11" s="24" t="s">
        <v>93</v>
      </c>
      <c r="B11" s="114"/>
      <c r="C11" s="272"/>
      <c r="D11" s="270"/>
      <c r="E11" s="271"/>
      <c r="F11" s="272"/>
      <c r="G11" s="270"/>
      <c r="H11" s="271"/>
      <c r="I11" s="272"/>
      <c r="J11" s="270"/>
      <c r="K11" s="271"/>
    </row>
    <row r="12" spans="1:11" ht="12.75" customHeight="1" x14ac:dyDescent="0.25">
      <c r="A12" s="24" t="s">
        <v>1</v>
      </c>
      <c r="B12" s="114"/>
      <c r="C12" s="272"/>
      <c r="D12" s="270"/>
      <c r="E12" s="271"/>
      <c r="F12" s="272"/>
      <c r="G12" s="270"/>
      <c r="H12" s="271"/>
      <c r="I12" s="272"/>
      <c r="J12" s="270"/>
      <c r="K12" s="271"/>
    </row>
    <row r="13" spans="1:11" ht="12.75" customHeight="1" x14ac:dyDescent="0.25">
      <c r="A13" s="24" t="s">
        <v>905</v>
      </c>
      <c r="B13" s="114"/>
      <c r="C13" s="272"/>
      <c r="D13" s="270"/>
      <c r="E13" s="271"/>
      <c r="F13" s="272"/>
      <c r="G13" s="270"/>
      <c r="H13" s="271"/>
      <c r="I13" s="272"/>
      <c r="J13" s="270"/>
      <c r="K13" s="271"/>
    </row>
    <row r="14" spans="1:11" ht="12.75" customHeight="1" x14ac:dyDescent="0.25">
      <c r="A14" s="24" t="s">
        <v>906</v>
      </c>
      <c r="B14" s="114"/>
      <c r="C14" s="272"/>
      <c r="D14" s="270"/>
      <c r="E14" s="271"/>
      <c r="F14" s="272"/>
      <c r="G14" s="270"/>
      <c r="H14" s="271"/>
      <c r="I14" s="272"/>
      <c r="J14" s="270"/>
      <c r="K14" s="271"/>
    </row>
    <row r="15" spans="1:11" ht="12.75" customHeight="1" x14ac:dyDescent="0.25">
      <c r="A15" s="24" t="s">
        <v>907</v>
      </c>
      <c r="B15" s="114"/>
      <c r="C15" s="272"/>
      <c r="D15" s="270"/>
      <c r="E15" s="271"/>
      <c r="F15" s="272"/>
      <c r="G15" s="270"/>
      <c r="H15" s="271"/>
      <c r="I15" s="272"/>
      <c r="J15" s="270"/>
      <c r="K15" s="271"/>
    </row>
    <row r="16" spans="1:11" ht="12.75" customHeight="1" x14ac:dyDescent="0.25">
      <c r="A16" s="24" t="s">
        <v>588</v>
      </c>
      <c r="B16" s="114"/>
      <c r="C16" s="272">
        <f>74378+16620+34195</f>
        <v>125193</v>
      </c>
      <c r="D16" s="270">
        <f>180412+16535+40151</f>
        <v>237098</v>
      </c>
      <c r="E16" s="271">
        <f>303000</f>
        <v>303000</v>
      </c>
      <c r="F16" s="272">
        <f>301812.76</f>
        <v>301812.76</v>
      </c>
      <c r="G16" s="270">
        <v>0</v>
      </c>
      <c r="H16" s="271">
        <v>301812.76</v>
      </c>
      <c r="I16" s="272">
        <v>225000</v>
      </c>
      <c r="J16" s="270">
        <v>236250</v>
      </c>
      <c r="K16" s="271">
        <v>248062</v>
      </c>
    </row>
    <row r="17" spans="1:11" ht="12.75" customHeight="1" x14ac:dyDescent="0.25">
      <c r="A17" s="24" t="s">
        <v>108</v>
      </c>
      <c r="B17" s="114"/>
      <c r="C17" s="272">
        <f>168778+23625+98850</f>
        <v>291253</v>
      </c>
      <c r="D17" s="270">
        <f>589360+11580+166800</f>
        <v>767740</v>
      </c>
      <c r="E17" s="271">
        <v>834000</v>
      </c>
      <c r="F17" s="272">
        <f>699527.48</f>
        <v>699527.48</v>
      </c>
      <c r="G17" s="270">
        <v>0</v>
      </c>
      <c r="H17" s="271">
        <v>699527.84</v>
      </c>
      <c r="I17" s="272">
        <f>400000</f>
        <v>400000</v>
      </c>
      <c r="J17" s="270">
        <v>422000</v>
      </c>
      <c r="K17" s="271">
        <v>443000</v>
      </c>
    </row>
    <row r="18" spans="1:11" ht="12.75" customHeight="1" x14ac:dyDescent="0.25">
      <c r="A18" s="24" t="s">
        <v>890</v>
      </c>
      <c r="B18" s="114"/>
      <c r="C18" s="272"/>
      <c r="D18" s="270"/>
      <c r="E18" s="271" t="s">
        <v>1067</v>
      </c>
      <c r="F18" s="272"/>
      <c r="G18" s="270"/>
      <c r="H18" s="271"/>
      <c r="I18" s="272"/>
      <c r="J18" s="270"/>
      <c r="K18" s="271"/>
    </row>
    <row r="19" spans="1:11" ht="12.75" customHeight="1" x14ac:dyDescent="0.25">
      <c r="A19" s="24" t="s">
        <v>891</v>
      </c>
      <c r="B19" s="114">
        <v>1</v>
      </c>
      <c r="C19" s="272"/>
      <c r="D19" s="270"/>
      <c r="E19" s="271"/>
      <c r="F19" s="272"/>
      <c r="G19" s="270"/>
      <c r="H19" s="271"/>
      <c r="I19" s="272"/>
      <c r="J19" s="270"/>
      <c r="K19" s="271"/>
    </row>
    <row r="20" spans="1:11" ht="12.75" customHeight="1" x14ac:dyDescent="0.25">
      <c r="A20" s="24" t="s">
        <v>892</v>
      </c>
      <c r="B20" s="114"/>
      <c r="C20" s="272"/>
      <c r="D20" s="270"/>
      <c r="E20" s="271"/>
      <c r="F20" s="272"/>
      <c r="G20" s="270"/>
      <c r="H20" s="271"/>
      <c r="I20" s="272"/>
      <c r="J20" s="270"/>
      <c r="K20" s="271"/>
    </row>
    <row r="21" spans="1:11" ht="12.75" customHeight="1" x14ac:dyDescent="0.25">
      <c r="A21" s="55" t="s">
        <v>294</v>
      </c>
      <c r="B21" s="114"/>
      <c r="C21" s="45">
        <f>SUM(C8:C20)</f>
        <v>416446</v>
      </c>
      <c r="D21" s="44">
        <f>SUM(D8:D20)</f>
        <v>1004838</v>
      </c>
      <c r="E21" s="150">
        <f t="shared" ref="E21:K21" si="0">SUM(E8:E20)</f>
        <v>1137000</v>
      </c>
      <c r="F21" s="45">
        <f t="shared" si="0"/>
        <v>1001340.24</v>
      </c>
      <c r="G21" s="44">
        <f t="shared" si="0"/>
        <v>0</v>
      </c>
      <c r="H21" s="106">
        <f t="shared" si="0"/>
        <v>1001340.6</v>
      </c>
      <c r="I21" s="143">
        <f t="shared" si="0"/>
        <v>625000</v>
      </c>
      <c r="J21" s="44">
        <f t="shared" si="0"/>
        <v>658250</v>
      </c>
      <c r="K21" s="106">
        <f t="shared" si="0"/>
        <v>691062</v>
      </c>
    </row>
    <row r="22" spans="1:11" ht="12.75" customHeight="1" x14ac:dyDescent="0.25">
      <c r="A22" s="55" t="s">
        <v>259</v>
      </c>
      <c r="B22" s="114"/>
      <c r="C22" s="28"/>
      <c r="D22" s="30">
        <f>IF(D21=0,"",(D21/C21)-1)</f>
        <v>1.4128890660493796</v>
      </c>
      <c r="E22" s="65">
        <f>IF(E21=0,"",(E21/D21)-1)</f>
        <v>0.13152567876612942</v>
      </c>
      <c r="F22" s="31">
        <f>IF(F21=0,"",(F21/E21)-1)</f>
        <v>-0.11931377308707125</v>
      </c>
      <c r="G22" s="30" t="str">
        <f>IF(G21=0,"",(G21/E21)-1)</f>
        <v/>
      </c>
      <c r="H22" s="124">
        <f>IF(H21=0,"",(H21/E21)-1)</f>
        <v>-0.11931345646437996</v>
      </c>
      <c r="I22" s="142">
        <f>IF(I21=0,"",(I21/H21)-1)</f>
        <v>-0.37583675324859489</v>
      </c>
      <c r="J22" s="65">
        <f>IF(J21=0,"",(J21/I21)-1)</f>
        <v>5.3199999999999914E-2</v>
      </c>
      <c r="K22" s="154">
        <f>IF(K21=0,"",(K21/J21)-1)</f>
        <v>4.9847322445879305E-2</v>
      </c>
    </row>
    <row r="23" spans="1:11" ht="5.0999999999999996" customHeight="1" x14ac:dyDescent="0.25">
      <c r="A23" s="25"/>
      <c r="B23" s="114"/>
      <c r="C23" s="28"/>
      <c r="D23" s="27"/>
      <c r="E23" s="105"/>
      <c r="F23" s="28"/>
      <c r="G23" s="27"/>
      <c r="H23" s="105"/>
      <c r="I23" s="28"/>
      <c r="J23" s="27"/>
      <c r="K23" s="105"/>
    </row>
    <row r="24" spans="1:11" ht="12.75" customHeight="1" x14ac:dyDescent="0.25">
      <c r="A24" s="55" t="s">
        <v>339</v>
      </c>
      <c r="B24" s="114"/>
      <c r="C24" s="28"/>
      <c r="D24" s="27"/>
      <c r="E24" s="105"/>
      <c r="F24" s="28"/>
      <c r="G24" s="27"/>
      <c r="H24" s="105"/>
      <c r="I24" s="28"/>
      <c r="J24" s="27"/>
      <c r="K24" s="105"/>
    </row>
    <row r="25" spans="1:11" ht="12.75" customHeight="1" x14ac:dyDescent="0.25">
      <c r="A25" s="361" t="s">
        <v>893</v>
      </c>
      <c r="B25" s="114"/>
      <c r="C25" s="272">
        <v>775136</v>
      </c>
      <c r="D25" s="270">
        <v>308623</v>
      </c>
      <c r="E25" s="271">
        <v>913786</v>
      </c>
      <c r="F25" s="272">
        <v>1590000</v>
      </c>
      <c r="G25" s="270">
        <v>0</v>
      </c>
      <c r="H25" s="271">
        <v>1590000</v>
      </c>
      <c r="I25" s="272">
        <v>1685000</v>
      </c>
      <c r="J25" s="270">
        <v>1786000</v>
      </c>
      <c r="K25" s="271">
        <v>1887000</v>
      </c>
    </row>
    <row r="26" spans="1:11" ht="12.75" customHeight="1" x14ac:dyDescent="0.25">
      <c r="A26" s="361" t="s">
        <v>889</v>
      </c>
      <c r="B26" s="114"/>
      <c r="C26" s="272">
        <v>115963</v>
      </c>
      <c r="D26" s="270">
        <v>42000</v>
      </c>
      <c r="E26" s="271">
        <v>281433</v>
      </c>
      <c r="F26" s="272">
        <v>281000</v>
      </c>
      <c r="G26" s="270">
        <v>0</v>
      </c>
      <c r="H26" s="271">
        <v>281433</v>
      </c>
      <c r="I26" s="272">
        <v>327123</v>
      </c>
      <c r="J26" s="270">
        <v>318806</v>
      </c>
      <c r="K26" s="271">
        <v>340497</v>
      </c>
    </row>
    <row r="27" spans="1:11" ht="12.75" customHeight="1" x14ac:dyDescent="0.25">
      <c r="A27" s="361" t="s">
        <v>0</v>
      </c>
      <c r="B27" s="114"/>
      <c r="C27" s="272"/>
      <c r="D27" s="270"/>
      <c r="E27" s="271"/>
      <c r="F27" s="272"/>
      <c r="G27" s="270"/>
      <c r="H27" s="271"/>
      <c r="I27" s="272"/>
      <c r="J27" s="270"/>
      <c r="K27" s="271"/>
    </row>
    <row r="28" spans="1:11" ht="12.75" customHeight="1" x14ac:dyDescent="0.25">
      <c r="A28" s="361" t="s">
        <v>93</v>
      </c>
      <c r="B28" s="114"/>
      <c r="C28" s="272"/>
      <c r="D28" s="270"/>
      <c r="E28" s="271"/>
      <c r="F28" s="272"/>
      <c r="G28" s="270"/>
      <c r="H28" s="271"/>
      <c r="I28" s="272" t="s">
        <v>1068</v>
      </c>
      <c r="J28" s="270" t="s">
        <v>1068</v>
      </c>
      <c r="K28" s="271" t="s">
        <v>1068</v>
      </c>
    </row>
    <row r="29" spans="1:11" ht="12.75" customHeight="1" x14ac:dyDescent="0.25">
      <c r="A29" s="361" t="s">
        <v>1</v>
      </c>
      <c r="B29" s="114"/>
      <c r="C29" s="272">
        <v>43862</v>
      </c>
      <c r="D29" s="270">
        <v>0</v>
      </c>
      <c r="E29" s="271">
        <v>104414</v>
      </c>
      <c r="F29" s="272">
        <v>97691</v>
      </c>
      <c r="G29" s="270">
        <v>0</v>
      </c>
      <c r="H29" s="271">
        <v>97691</v>
      </c>
      <c r="I29" s="272">
        <v>40051</v>
      </c>
      <c r="J29" s="270">
        <v>42855.27</v>
      </c>
      <c r="K29" s="271">
        <v>45855.14</v>
      </c>
    </row>
    <row r="30" spans="1:11" ht="12.75" customHeight="1" x14ac:dyDescent="0.25">
      <c r="A30" s="361" t="s">
        <v>905</v>
      </c>
      <c r="B30" s="114"/>
      <c r="C30" s="272"/>
      <c r="D30" s="270"/>
      <c r="E30" s="271"/>
      <c r="F30" s="272"/>
      <c r="G30" s="270"/>
      <c r="H30" s="271"/>
      <c r="I30" s="272"/>
      <c r="J30" s="270"/>
      <c r="K30" s="271"/>
    </row>
    <row r="31" spans="1:11" ht="12.75" customHeight="1" x14ac:dyDescent="0.25">
      <c r="A31" s="361" t="s">
        <v>906</v>
      </c>
      <c r="B31" s="114"/>
      <c r="C31" s="272"/>
      <c r="D31" s="270"/>
      <c r="E31" s="271"/>
      <c r="F31" s="272"/>
      <c r="G31" s="270"/>
      <c r="H31" s="271"/>
      <c r="I31" s="272"/>
      <c r="J31" s="270"/>
      <c r="K31" s="271"/>
    </row>
    <row r="32" spans="1:11" ht="12.75" customHeight="1" x14ac:dyDescent="0.25">
      <c r="A32" s="361" t="s">
        <v>907</v>
      </c>
      <c r="B32" s="114"/>
      <c r="C32" s="272"/>
      <c r="D32" s="270"/>
      <c r="E32" s="271"/>
      <c r="F32" s="272"/>
      <c r="G32" s="270"/>
      <c r="H32" s="271"/>
      <c r="I32" s="272"/>
      <c r="J32" s="270"/>
      <c r="K32" s="271"/>
    </row>
    <row r="33" spans="1:11" ht="12.75" customHeight="1" x14ac:dyDescent="0.25">
      <c r="A33" s="361" t="s">
        <v>588</v>
      </c>
      <c r="B33" s="114"/>
      <c r="C33" s="272"/>
      <c r="D33" s="270"/>
      <c r="E33" s="271"/>
      <c r="F33" s="272"/>
      <c r="G33" s="270"/>
      <c r="H33" s="271"/>
      <c r="I33" s="272"/>
      <c r="J33" s="270"/>
      <c r="K33" s="271"/>
    </row>
    <row r="34" spans="1:11" ht="12.75" customHeight="1" x14ac:dyDescent="0.25">
      <c r="A34" s="361" t="s">
        <v>890</v>
      </c>
      <c r="B34" s="114"/>
      <c r="C34" s="272"/>
      <c r="D34" s="270"/>
      <c r="E34" s="271"/>
      <c r="F34" s="272"/>
      <c r="G34" s="270"/>
      <c r="H34" s="271"/>
      <c r="I34" s="272"/>
      <c r="J34" s="270"/>
      <c r="K34" s="271"/>
    </row>
    <row r="35" spans="1:11" ht="12.75" customHeight="1" x14ac:dyDescent="0.25">
      <c r="A35" s="361" t="s">
        <v>891</v>
      </c>
      <c r="B35" s="114"/>
      <c r="C35" s="272"/>
      <c r="D35" s="270"/>
      <c r="E35" s="271"/>
      <c r="F35" s="272"/>
      <c r="G35" s="270"/>
      <c r="H35" s="271"/>
      <c r="I35" s="272"/>
      <c r="J35" s="270"/>
      <c r="K35" s="271"/>
    </row>
    <row r="36" spans="1:11" ht="12.75" customHeight="1" x14ac:dyDescent="0.25">
      <c r="A36" s="361" t="s">
        <v>892</v>
      </c>
      <c r="B36" s="114">
        <v>1</v>
      </c>
      <c r="C36" s="272"/>
      <c r="D36" s="270"/>
      <c r="E36" s="271"/>
      <c r="F36" s="272"/>
      <c r="G36" s="270"/>
      <c r="H36" s="271"/>
      <c r="I36" s="272"/>
      <c r="J36" s="270"/>
      <c r="K36" s="271"/>
    </row>
    <row r="37" spans="1:11" ht="12.75" customHeight="1" x14ac:dyDescent="0.25">
      <c r="A37" s="55" t="s">
        <v>340</v>
      </c>
      <c r="B37" s="114"/>
      <c r="C37" s="45">
        <f>SUM(C25:C36)</f>
        <v>934961</v>
      </c>
      <c r="D37" s="44">
        <f t="shared" ref="D37:K37" si="1">SUM(D25:D36)</f>
        <v>350623</v>
      </c>
      <c r="E37" s="150">
        <f t="shared" si="1"/>
        <v>1299633</v>
      </c>
      <c r="F37" s="45">
        <f t="shared" si="1"/>
        <v>1968691</v>
      </c>
      <c r="G37" s="44">
        <f t="shared" si="1"/>
        <v>0</v>
      </c>
      <c r="H37" s="106">
        <f t="shared" si="1"/>
        <v>1969124</v>
      </c>
      <c r="I37" s="143">
        <f t="shared" si="1"/>
        <v>2052174</v>
      </c>
      <c r="J37" s="44">
        <f t="shared" si="1"/>
        <v>2147661.27</v>
      </c>
      <c r="K37" s="106">
        <f t="shared" si="1"/>
        <v>2273352.14</v>
      </c>
    </row>
    <row r="38" spans="1:11" ht="12.75" customHeight="1" x14ac:dyDescent="0.25">
      <c r="A38" s="55" t="s">
        <v>259</v>
      </c>
      <c r="B38" s="114"/>
      <c r="C38" s="28"/>
      <c r="D38" s="30">
        <f>IF(D37=0,"",(D37/C37)-1)</f>
        <v>-0.62498649676296658</v>
      </c>
      <c r="E38" s="65">
        <f>IF(E37=0,"",(E37/D37)-1)</f>
        <v>2.706639324858894</v>
      </c>
      <c r="F38" s="31">
        <f>IF(F37=0,"",(F37/E37)-1)</f>
        <v>0.51480533350568969</v>
      </c>
      <c r="G38" s="30" t="str">
        <f>IF(G37=0,"",(G37/E37)-1)</f>
        <v/>
      </c>
      <c r="H38" s="124">
        <f>IF(H37=0,"",(H37/E37)-1)</f>
        <v>0.51513850448549703</v>
      </c>
      <c r="I38" s="142">
        <f>IF(I37=0,"",(I37/H37)-1)</f>
        <v>4.2176114861227632E-2</v>
      </c>
      <c r="J38" s="65">
        <f>IF(J37=0,"",(J37/I37)-1)</f>
        <v>4.6529811799584264E-2</v>
      </c>
      <c r="K38" s="154">
        <f>IF(K37=0,"",(K37/J37)-1)</f>
        <v>5.8524531664157609E-2</v>
      </c>
    </row>
    <row r="39" spans="1:11" ht="5.0999999999999996" customHeight="1" x14ac:dyDescent="0.25">
      <c r="A39" s="42"/>
      <c r="B39" s="114"/>
      <c r="C39" s="28"/>
      <c r="D39" s="27"/>
      <c r="E39" s="105"/>
      <c r="F39" s="28"/>
      <c r="G39" s="27"/>
      <c r="H39" s="105"/>
      <c r="I39" s="28"/>
      <c r="J39" s="27"/>
      <c r="K39" s="105"/>
    </row>
    <row r="40" spans="1:11" ht="12.75" customHeight="1" x14ac:dyDescent="0.25">
      <c r="A40" s="55" t="s">
        <v>255</v>
      </c>
      <c r="B40" s="114"/>
      <c r="C40" s="28"/>
      <c r="D40" s="27"/>
      <c r="E40" s="105"/>
      <c r="F40" s="28"/>
      <c r="G40" s="27"/>
      <c r="H40" s="105"/>
      <c r="I40" s="28"/>
      <c r="J40" s="27"/>
      <c r="K40" s="105"/>
    </row>
    <row r="41" spans="1:11" ht="12.75" customHeight="1" x14ac:dyDescent="0.25">
      <c r="A41" s="361" t="s">
        <v>893</v>
      </c>
      <c r="B41" s="114"/>
      <c r="C41" s="272">
        <v>1499000</v>
      </c>
      <c r="D41" s="271">
        <v>1581000</v>
      </c>
      <c r="E41" s="272">
        <f>1700823-60960-104414</f>
        <v>1535449</v>
      </c>
      <c r="F41" s="452">
        <v>687000</v>
      </c>
      <c r="G41" s="270">
        <v>0</v>
      </c>
      <c r="H41" s="271">
        <v>687000</v>
      </c>
      <c r="I41" s="272">
        <v>728000</v>
      </c>
      <c r="J41" s="270">
        <v>772000</v>
      </c>
      <c r="K41" s="271">
        <v>812500</v>
      </c>
    </row>
    <row r="42" spans="1:11" ht="12.75" customHeight="1" x14ac:dyDescent="0.25">
      <c r="A42" s="361" t="s">
        <v>889</v>
      </c>
      <c r="B42" s="114"/>
      <c r="C42" s="272">
        <v>755012</v>
      </c>
      <c r="D42" s="270">
        <v>664663.36</v>
      </c>
      <c r="E42" s="271">
        <v>569232</v>
      </c>
      <c r="F42" s="272">
        <v>808211</v>
      </c>
      <c r="G42" s="270">
        <v>0</v>
      </c>
      <c r="H42" s="271">
        <f>F42</f>
        <v>808211</v>
      </c>
      <c r="I42" s="272">
        <v>985744</v>
      </c>
      <c r="J42" s="270">
        <v>1035031</v>
      </c>
      <c r="K42" s="271">
        <v>1086783</v>
      </c>
    </row>
    <row r="43" spans="1:11" ht="12.75" customHeight="1" x14ac:dyDescent="0.25">
      <c r="A43" s="361" t="s">
        <v>0</v>
      </c>
      <c r="B43" s="114"/>
      <c r="C43" s="272"/>
      <c r="D43" s="270"/>
      <c r="E43" s="271"/>
      <c r="F43" s="272"/>
      <c r="G43" s="270"/>
      <c r="H43" s="271"/>
      <c r="I43" s="272"/>
      <c r="J43" s="270"/>
      <c r="K43" s="271"/>
    </row>
    <row r="44" spans="1:11" ht="12.75" customHeight="1" x14ac:dyDescent="0.25">
      <c r="A44" s="361" t="s">
        <v>93</v>
      </c>
      <c r="B44" s="114"/>
      <c r="C44" s="272">
        <v>42000</v>
      </c>
      <c r="D44" s="270">
        <v>57000</v>
      </c>
      <c r="E44" s="271">
        <v>61000</v>
      </c>
      <c r="F44" s="272">
        <v>11000</v>
      </c>
      <c r="G44" s="270">
        <v>0</v>
      </c>
      <c r="H44" s="271">
        <v>11000</v>
      </c>
      <c r="I44" s="272">
        <v>9049</v>
      </c>
      <c r="J44" s="270">
        <v>6982</v>
      </c>
      <c r="K44" s="271">
        <v>10360</v>
      </c>
    </row>
    <row r="45" spans="1:11" ht="12.75" customHeight="1" x14ac:dyDescent="0.25">
      <c r="A45" s="361" t="s">
        <v>1</v>
      </c>
      <c r="B45" s="114"/>
      <c r="C45" s="272"/>
      <c r="D45" s="270"/>
      <c r="E45" s="271"/>
      <c r="F45" s="272"/>
      <c r="G45" s="270"/>
      <c r="H45" s="271"/>
      <c r="I45" s="272"/>
      <c r="J45" s="270"/>
      <c r="K45" s="271"/>
    </row>
    <row r="46" spans="1:11" ht="12.75" customHeight="1" x14ac:dyDescent="0.25">
      <c r="A46" s="361" t="s">
        <v>905</v>
      </c>
      <c r="B46" s="114"/>
      <c r="C46" s="272"/>
      <c r="D46" s="270"/>
      <c r="E46" s="271"/>
      <c r="F46" s="272"/>
      <c r="G46" s="270"/>
      <c r="H46" s="271"/>
      <c r="I46" s="272"/>
      <c r="J46" s="270"/>
      <c r="K46" s="271"/>
    </row>
    <row r="47" spans="1:11" ht="12.75" customHeight="1" x14ac:dyDescent="0.25">
      <c r="A47" s="361" t="s">
        <v>906</v>
      </c>
      <c r="B47" s="114"/>
      <c r="C47" s="272"/>
      <c r="D47" s="270"/>
      <c r="E47" s="271"/>
      <c r="F47" s="272"/>
      <c r="G47" s="270"/>
      <c r="H47" s="271"/>
      <c r="I47" s="272"/>
      <c r="J47" s="270"/>
      <c r="K47" s="271"/>
    </row>
    <row r="48" spans="1:11" ht="12.75" customHeight="1" x14ac:dyDescent="0.25">
      <c r="A48" s="361" t="s">
        <v>907</v>
      </c>
      <c r="B48" s="114"/>
      <c r="C48" s="272"/>
      <c r="D48" s="270"/>
      <c r="E48" s="271"/>
      <c r="F48" s="272"/>
      <c r="G48" s="270"/>
      <c r="H48" s="271"/>
      <c r="I48" s="272"/>
      <c r="J48" s="270"/>
      <c r="K48" s="271"/>
    </row>
    <row r="49" spans="1:11" ht="12.75" customHeight="1" x14ac:dyDescent="0.25">
      <c r="A49" s="361" t="s">
        <v>588</v>
      </c>
      <c r="B49" s="114"/>
      <c r="C49" s="272"/>
      <c r="D49" s="270"/>
      <c r="E49" s="271"/>
      <c r="F49" s="272"/>
      <c r="G49" s="270"/>
      <c r="H49" s="271"/>
      <c r="I49" s="272"/>
      <c r="J49" s="270"/>
      <c r="K49" s="271"/>
    </row>
    <row r="50" spans="1:11" ht="12.75" customHeight="1" x14ac:dyDescent="0.25">
      <c r="A50" s="361" t="s">
        <v>890</v>
      </c>
      <c r="B50" s="114"/>
      <c r="C50" s="272"/>
      <c r="D50" s="270"/>
      <c r="E50" s="271"/>
      <c r="F50" s="272"/>
      <c r="G50" s="270"/>
      <c r="H50" s="271"/>
      <c r="I50" s="272"/>
      <c r="J50" s="270"/>
      <c r="K50" s="271"/>
    </row>
    <row r="51" spans="1:11" ht="12.75" customHeight="1" x14ac:dyDescent="0.25">
      <c r="A51" s="361" t="s">
        <v>891</v>
      </c>
      <c r="B51" s="114"/>
      <c r="C51" s="272"/>
      <c r="D51" s="270"/>
      <c r="E51" s="271"/>
      <c r="F51" s="272"/>
      <c r="G51" s="270"/>
      <c r="H51" s="271"/>
      <c r="I51" s="272"/>
      <c r="J51" s="270"/>
      <c r="K51" s="271"/>
    </row>
    <row r="52" spans="1:11" ht="12.75" customHeight="1" x14ac:dyDescent="0.25">
      <c r="A52" s="361" t="s">
        <v>892</v>
      </c>
      <c r="B52" s="114">
        <v>1</v>
      </c>
      <c r="C52" s="272"/>
      <c r="D52" s="270"/>
      <c r="E52" s="271"/>
      <c r="F52" s="272"/>
      <c r="G52" s="270"/>
      <c r="H52" s="271"/>
      <c r="I52" s="272"/>
      <c r="J52" s="270"/>
      <c r="K52" s="271"/>
    </row>
    <row r="53" spans="1:11" ht="12.75" customHeight="1" x14ac:dyDescent="0.25">
      <c r="A53" s="55" t="s">
        <v>73</v>
      </c>
      <c r="B53" s="114"/>
      <c r="C53" s="45">
        <f>SUM(C41:C52)</f>
        <v>2296012</v>
      </c>
      <c r="D53" s="44">
        <f>SUM(D41:D52)</f>
        <v>2302663.36</v>
      </c>
      <c r="E53" s="150">
        <f>SUM(E41:E52)</f>
        <v>2165681</v>
      </c>
      <c r="F53" s="45">
        <f t="shared" ref="F53:K53" si="2">SUM(F41:F52)</f>
        <v>1506211</v>
      </c>
      <c r="G53" s="44">
        <f t="shared" si="2"/>
        <v>0</v>
      </c>
      <c r="H53" s="106">
        <f t="shared" si="2"/>
        <v>1506211</v>
      </c>
      <c r="I53" s="143">
        <f t="shared" si="2"/>
        <v>1722793</v>
      </c>
      <c r="J53" s="44">
        <f t="shared" si="2"/>
        <v>1814013</v>
      </c>
      <c r="K53" s="106">
        <f t="shared" si="2"/>
        <v>1909643</v>
      </c>
    </row>
    <row r="54" spans="1:11" ht="12.75" customHeight="1" x14ac:dyDescent="0.25">
      <c r="A54" s="55" t="s">
        <v>259</v>
      </c>
      <c r="B54" s="114"/>
      <c r="C54" s="28"/>
      <c r="D54" s="30">
        <f>IF(D53=0,"",(D53/C53)-1)</f>
        <v>2.8969186572194161E-3</v>
      </c>
      <c r="E54" s="65">
        <f>IF(E53=0,"",(E53/D53)-1)</f>
        <v>-5.9488660991244502E-2</v>
      </c>
      <c r="F54" s="31">
        <f>IF(F53=0,"",(F53/E53)-1)</f>
        <v>-0.30450929753735656</v>
      </c>
      <c r="G54" s="30" t="str">
        <f>IF(G53=0,"",(G53/E53)-1)</f>
        <v/>
      </c>
      <c r="H54" s="124">
        <f>IF(H53=0,"",(H53/E53)-1)</f>
        <v>-0.30450929753735656</v>
      </c>
      <c r="I54" s="142">
        <f>IF(I53=0,"",(I53/H53)-1)</f>
        <v>0.14379260276282668</v>
      </c>
      <c r="J54" s="65">
        <f>IF(J53=0,"",(J53/I53)-1)</f>
        <v>5.2948903321524909E-2</v>
      </c>
      <c r="K54" s="154">
        <f>IF(K53=0,"",(K53/J53)-1)</f>
        <v>5.2717373028748904E-2</v>
      </c>
    </row>
    <row r="55" spans="1:11" ht="5.0999999999999996" customHeight="1" x14ac:dyDescent="0.25">
      <c r="A55" s="25"/>
      <c r="B55" s="114"/>
      <c r="C55" s="28"/>
      <c r="D55" s="27"/>
      <c r="E55" s="105"/>
      <c r="F55" s="28"/>
      <c r="G55" s="27"/>
      <c r="H55" s="105"/>
      <c r="I55" s="28"/>
      <c r="J55" s="27"/>
      <c r="K55" s="105"/>
    </row>
    <row r="56" spans="1:11" ht="12.75" customHeight="1" x14ac:dyDescent="0.25">
      <c r="A56" s="388" t="s">
        <v>440</v>
      </c>
      <c r="B56" s="374"/>
      <c r="C56" s="223">
        <f>C21+C37+C53</f>
        <v>3647419</v>
      </c>
      <c r="D56" s="224">
        <f t="shared" ref="D56:K56" si="3">D21+D37+D53</f>
        <v>3658124.36</v>
      </c>
      <c r="E56" s="389">
        <f t="shared" si="3"/>
        <v>4602314</v>
      </c>
      <c r="F56" s="223">
        <f t="shared" si="3"/>
        <v>4476242.24</v>
      </c>
      <c r="G56" s="224">
        <f t="shared" si="3"/>
        <v>0</v>
      </c>
      <c r="H56" s="225">
        <f t="shared" si="3"/>
        <v>4476675.5999999996</v>
      </c>
      <c r="I56" s="390">
        <f t="shared" si="3"/>
        <v>4399967</v>
      </c>
      <c r="J56" s="224">
        <f t="shared" si="3"/>
        <v>4619924.2699999996</v>
      </c>
      <c r="K56" s="225">
        <f t="shared" si="3"/>
        <v>4874057.1400000006</v>
      </c>
    </row>
    <row r="57" spans="1:11" ht="5.0999999999999996" customHeight="1" x14ac:dyDescent="0.25">
      <c r="A57" s="391"/>
      <c r="B57" s="392"/>
      <c r="C57" s="393"/>
      <c r="D57" s="393"/>
      <c r="E57" s="393"/>
      <c r="F57" s="393"/>
      <c r="G57" s="393"/>
      <c r="H57" s="393"/>
      <c r="I57" s="393"/>
      <c r="J57" s="393"/>
      <c r="K57" s="393"/>
    </row>
    <row r="58" spans="1:11" ht="12.75" customHeight="1" x14ac:dyDescent="0.25">
      <c r="A58" s="35" t="str">
        <f>head27a</f>
        <v>References</v>
      </c>
      <c r="B58" s="36"/>
      <c r="C58" s="29"/>
      <c r="D58" s="29"/>
      <c r="E58" s="29"/>
      <c r="F58" s="29"/>
      <c r="G58" s="29"/>
      <c r="H58" s="29"/>
      <c r="I58" s="29"/>
      <c r="J58" s="29"/>
      <c r="K58" s="29"/>
    </row>
    <row r="59" spans="1:11" ht="12.75" customHeight="1" x14ac:dyDescent="0.25">
      <c r="A59" s="47" t="s">
        <v>130</v>
      </c>
      <c r="B59" s="36"/>
      <c r="C59" s="29"/>
      <c r="D59" s="29"/>
      <c r="E59" s="29"/>
      <c r="F59" s="29"/>
      <c r="G59" s="29"/>
      <c r="H59" s="29"/>
      <c r="I59" s="29"/>
      <c r="J59" s="29"/>
      <c r="K59" s="29"/>
    </row>
    <row r="60" spans="1:11" ht="12.75" customHeight="1" x14ac:dyDescent="0.25">
      <c r="A60" s="35" t="s">
        <v>145</v>
      </c>
      <c r="B60" s="36"/>
      <c r="C60" s="42"/>
      <c r="D60" s="42"/>
      <c r="E60" s="42"/>
      <c r="F60" s="42"/>
      <c r="G60" s="42"/>
      <c r="H60" s="42"/>
      <c r="I60" s="42"/>
      <c r="J60" s="42"/>
      <c r="K60" s="42"/>
    </row>
    <row r="61" spans="1:11" ht="12.75" customHeight="1" x14ac:dyDescent="0.25">
      <c r="A61" s="47" t="s">
        <v>442</v>
      </c>
      <c r="B61" s="36"/>
      <c r="C61" s="42"/>
      <c r="D61" s="42"/>
      <c r="E61" s="42"/>
      <c r="F61" s="42"/>
      <c r="G61" s="42"/>
      <c r="H61" s="42"/>
      <c r="I61" s="42"/>
      <c r="J61" s="42"/>
      <c r="K61" s="42"/>
    </row>
    <row r="62" spans="1:11" ht="12.75" customHeight="1" x14ac:dyDescent="0.25">
      <c r="A62" s="47" t="s">
        <v>443</v>
      </c>
      <c r="B62" s="36"/>
      <c r="C62" s="42"/>
      <c r="D62" s="42"/>
      <c r="E62" s="42"/>
      <c r="F62" s="42"/>
      <c r="G62" s="42"/>
      <c r="H62" s="42"/>
      <c r="I62" s="42"/>
      <c r="J62" s="42"/>
      <c r="K62" s="42"/>
    </row>
    <row r="63" spans="1:11" ht="12.75" customHeight="1" x14ac:dyDescent="0.25">
      <c r="A63" s="47" t="s">
        <v>444</v>
      </c>
      <c r="B63" s="36"/>
      <c r="C63" s="42"/>
      <c r="D63" s="42"/>
      <c r="E63" s="42"/>
      <c r="F63" s="42"/>
      <c r="G63" s="42"/>
      <c r="H63" s="42"/>
      <c r="I63" s="42"/>
      <c r="J63" s="42"/>
      <c r="K63" s="42"/>
    </row>
    <row r="64" spans="1:11" ht="12.75" customHeight="1" x14ac:dyDescent="0.25">
      <c r="A64" s="47" t="s">
        <v>445</v>
      </c>
      <c r="B64" s="36"/>
      <c r="C64" s="42"/>
      <c r="D64" s="42"/>
      <c r="E64" s="42"/>
      <c r="F64" s="42"/>
      <c r="G64" s="42"/>
      <c r="H64" s="42"/>
      <c r="I64" s="42"/>
      <c r="J64" s="42"/>
      <c r="K64" s="42"/>
    </row>
    <row r="65" spans="1:13" ht="12.75" customHeight="1" x14ac:dyDescent="0.25">
      <c r="A65" s="47" t="s">
        <v>448</v>
      </c>
      <c r="B65" s="36"/>
      <c r="C65" s="42"/>
      <c r="D65" s="42"/>
      <c r="E65" s="42"/>
      <c r="F65" s="42"/>
      <c r="G65" s="42"/>
      <c r="H65" s="42"/>
      <c r="I65" s="42"/>
      <c r="J65" s="42"/>
      <c r="K65" s="42"/>
    </row>
    <row r="66" spans="1:13" ht="12.75" customHeight="1" x14ac:dyDescent="0.25">
      <c r="A66" s="47" t="s">
        <v>447</v>
      </c>
      <c r="B66" s="36"/>
      <c r="C66" s="42"/>
      <c r="D66" s="42"/>
      <c r="E66" s="42"/>
      <c r="F66" s="42"/>
      <c r="G66" s="42"/>
      <c r="H66" s="42"/>
      <c r="I66" s="42"/>
      <c r="J66" s="42"/>
      <c r="K66" s="42"/>
      <c r="M66" s="53"/>
    </row>
    <row r="67" spans="1:13" ht="12.75" customHeight="1" x14ac:dyDescent="0.25">
      <c r="A67" s="47" t="s">
        <v>446</v>
      </c>
      <c r="B67" s="36"/>
      <c r="C67" s="42"/>
      <c r="D67" s="42"/>
      <c r="E67" s="42"/>
      <c r="F67" s="42"/>
      <c r="G67" s="42"/>
      <c r="H67" s="42"/>
      <c r="I67" s="42"/>
      <c r="J67" s="42"/>
      <c r="K67" s="42"/>
    </row>
    <row r="68" spans="1:13" ht="12.75" customHeight="1" x14ac:dyDescent="0.25">
      <c r="A68" s="47" t="s">
        <v>449</v>
      </c>
      <c r="B68" s="36"/>
      <c r="C68" s="42"/>
      <c r="D68" s="42"/>
      <c r="E68" s="42"/>
      <c r="F68" s="42"/>
      <c r="G68" s="42"/>
      <c r="H68" s="42"/>
      <c r="I68" s="42"/>
      <c r="J68" s="42"/>
      <c r="K68" s="42"/>
    </row>
    <row r="69" spans="1:13" ht="12.75" customHeight="1" x14ac:dyDescent="0.25">
      <c r="A69" s="47" t="s">
        <v>450</v>
      </c>
      <c r="B69" s="36"/>
      <c r="C69" s="42"/>
      <c r="D69" s="42"/>
      <c r="E69" s="42"/>
      <c r="F69" s="42"/>
      <c r="G69" s="42"/>
      <c r="H69" s="42"/>
      <c r="I69" s="42"/>
      <c r="J69" s="42"/>
      <c r="K69" s="42"/>
    </row>
    <row r="71" spans="1:13" x14ac:dyDescent="0.25">
      <c r="B71" s="20"/>
    </row>
    <row r="72" spans="1:13" x14ac:dyDescent="0.25">
      <c r="B72" s="20"/>
    </row>
    <row r="73" spans="1:13" x14ac:dyDescent="0.25">
      <c r="B73" s="20"/>
    </row>
    <row r="74" spans="1:13" x14ac:dyDescent="0.25">
      <c r="B74" s="20"/>
    </row>
    <row r="75" spans="1:13" x14ac:dyDescent="0.25">
      <c r="B75" s="20"/>
    </row>
    <row r="76" spans="1:13" x14ac:dyDescent="0.25">
      <c r="B76" s="20"/>
    </row>
    <row r="77" spans="1:13" x14ac:dyDescent="0.25">
      <c r="B77" s="20"/>
    </row>
    <row r="78" spans="1:13" x14ac:dyDescent="0.25">
      <c r="B78" s="20"/>
    </row>
    <row r="79" spans="1:13" x14ac:dyDescent="0.25">
      <c r="B79" s="20"/>
    </row>
    <row r="80" spans="1:13" x14ac:dyDescent="0.25">
      <c r="B80" s="20"/>
    </row>
    <row r="81" spans="2:2" x14ac:dyDescent="0.25">
      <c r="B81" s="20"/>
    </row>
    <row r="82" spans="2:2" x14ac:dyDescent="0.25">
      <c r="B82" s="2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row r="120" spans="2:2" x14ac:dyDescent="0.25">
      <c r="B120" s="20"/>
    </row>
    <row r="121" spans="2:2" x14ac:dyDescent="0.25">
      <c r="B121" s="20"/>
    </row>
    <row r="122" spans="2:2" x14ac:dyDescent="0.25">
      <c r="B122" s="20"/>
    </row>
    <row r="123" spans="2:2" x14ac:dyDescent="0.25">
      <c r="B123" s="20"/>
    </row>
    <row r="124" spans="2:2" x14ac:dyDescent="0.25">
      <c r="B124" s="20"/>
    </row>
    <row r="125" spans="2:2" x14ac:dyDescent="0.25">
      <c r="B125" s="20"/>
    </row>
    <row r="126" spans="2:2" x14ac:dyDescent="0.25">
      <c r="B126" s="20"/>
    </row>
    <row r="127" spans="2:2" x14ac:dyDescent="0.25">
      <c r="B127" s="20"/>
    </row>
    <row r="128" spans="2:2" x14ac:dyDescent="0.25">
      <c r="B128" s="20"/>
    </row>
    <row r="129" spans="2:2" x14ac:dyDescent="0.25">
      <c r="B129" s="20"/>
    </row>
    <row r="130" spans="2:2" x14ac:dyDescent="0.25">
      <c r="B130" s="20"/>
    </row>
    <row r="131" spans="2:2" x14ac:dyDescent="0.25">
      <c r="B131" s="20"/>
    </row>
    <row r="132" spans="2:2" x14ac:dyDescent="0.25">
      <c r="B132" s="20"/>
    </row>
    <row r="133" spans="2:2" x14ac:dyDescent="0.25">
      <c r="B133" s="20"/>
    </row>
    <row r="134" spans="2:2" x14ac:dyDescent="0.25">
      <c r="B134" s="20"/>
    </row>
    <row r="135" spans="2:2" x14ac:dyDescent="0.25">
      <c r="B135" s="20"/>
    </row>
    <row r="136" spans="2:2" x14ac:dyDescent="0.25">
      <c r="B136" s="20"/>
    </row>
    <row r="137" spans="2:2" x14ac:dyDescent="0.25">
      <c r="B137" s="20"/>
    </row>
    <row r="138" spans="2:2" x14ac:dyDescent="0.25">
      <c r="B138" s="20"/>
    </row>
    <row r="139" spans="2:2" x14ac:dyDescent="0.25">
      <c r="B139" s="20"/>
    </row>
    <row r="140" spans="2:2" x14ac:dyDescent="0.25">
      <c r="B140" s="20"/>
    </row>
    <row r="141" spans="2:2" x14ac:dyDescent="0.25">
      <c r="B141" s="20"/>
    </row>
    <row r="142" spans="2:2" x14ac:dyDescent="0.25">
      <c r="B142" s="20"/>
    </row>
    <row r="143" spans="2:2" x14ac:dyDescent="0.25">
      <c r="B143" s="20"/>
    </row>
    <row r="144" spans="2:2" x14ac:dyDescent="0.25">
      <c r="B144" s="20"/>
    </row>
    <row r="145" spans="2:2" x14ac:dyDescent="0.25">
      <c r="B145" s="20"/>
    </row>
  </sheetData>
  <sheetProtection sheet="1" objects="1" scenarios="1"/>
  <mergeCells count="11">
    <mergeCell ref="A2:A4"/>
    <mergeCell ref="B2:B4"/>
    <mergeCell ref="I3:I4"/>
    <mergeCell ref="J3:J4"/>
    <mergeCell ref="K3:K4"/>
    <mergeCell ref="E3:E4"/>
    <mergeCell ref="F3:F4"/>
    <mergeCell ref="G3:G4"/>
    <mergeCell ref="H3:H4"/>
    <mergeCell ref="C3:C4"/>
    <mergeCell ref="D3:D4"/>
  </mergeCells>
  <phoneticPr fontId="2" type="noConversion"/>
  <printOptions horizontalCentered="1"/>
  <pageMargins left="0.35433070866141736" right="0.15748031496062992" top="0.78740157480314965" bottom="0.59055118110236227" header="0.51181102362204722" footer="0.51181102362204722"/>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CFFCC"/>
  </sheetPr>
  <dimension ref="A1:K50"/>
  <sheetViews>
    <sheetView showGridLines="0" zoomScaleNormal="100" workbookViewId="0">
      <pane xSplit="2" ySplit="3" topLeftCell="C10" activePane="bottomRight" state="frozen"/>
      <selection activeCell="M29" sqref="M29"/>
      <selection pane="topRight" activeCell="M29" sqref="M29"/>
      <selection pane="bottomLeft" activeCell="M29" sqref="M29"/>
      <selection pane="bottomRight" activeCell="C36" sqref="C36"/>
    </sheetView>
  </sheetViews>
  <sheetFormatPr defaultRowHeight="12.75" x14ac:dyDescent="0.25"/>
  <cols>
    <col min="1" max="1" width="37.7109375" style="20" customWidth="1"/>
    <col min="2" max="2" width="3"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1" ht="13.5" customHeight="1" x14ac:dyDescent="0.25">
      <c r="A1" s="394" t="str">
        <f>MEB5b</f>
        <v>GREATER TZANEEN ECONOMIC DEVELOPMENT AGENCY - Supporting Table SD5 Summary of personnel numbers</v>
      </c>
      <c r="B1" s="394"/>
      <c r="C1" s="394"/>
      <c r="D1" s="394"/>
      <c r="E1" s="394"/>
      <c r="F1" s="394"/>
      <c r="G1" s="394"/>
      <c r="H1" s="394"/>
      <c r="I1" s="394"/>
      <c r="J1" s="394"/>
      <c r="K1" s="394"/>
    </row>
    <row r="2" spans="1:11" ht="28.5" customHeight="1" x14ac:dyDescent="0.25">
      <c r="A2" s="395" t="s">
        <v>559</v>
      </c>
      <c r="B2" s="396" t="str">
        <f>head27</f>
        <v>Ref</v>
      </c>
      <c r="C2" s="647" t="str">
        <f>Head1</f>
        <v>2016/17</v>
      </c>
      <c r="D2" s="626"/>
      <c r="E2" s="627"/>
      <c r="F2" s="648" t="str">
        <f>Head2</f>
        <v>Current Year 2017/18</v>
      </c>
      <c r="G2" s="649"/>
      <c r="H2" s="650"/>
      <c r="I2" s="622" t="str">
        <f>Head9</f>
        <v>Budget Year 2018/19</v>
      </c>
      <c r="J2" s="623"/>
      <c r="K2" s="624"/>
    </row>
    <row r="3" spans="1:11" ht="25.5" x14ac:dyDescent="0.25">
      <c r="A3" s="468" t="s">
        <v>560</v>
      </c>
      <c r="B3" s="397">
        <v>1</v>
      </c>
      <c r="C3" s="398" t="s">
        <v>561</v>
      </c>
      <c r="D3" s="399" t="s">
        <v>248</v>
      </c>
      <c r="E3" s="400" t="s">
        <v>562</v>
      </c>
      <c r="F3" s="398" t="s">
        <v>561</v>
      </c>
      <c r="G3" s="399" t="s">
        <v>248</v>
      </c>
      <c r="H3" s="400" t="s">
        <v>562</v>
      </c>
      <c r="I3" s="398" t="s">
        <v>561</v>
      </c>
      <c r="J3" s="399" t="s">
        <v>248</v>
      </c>
      <c r="K3" s="400" t="s">
        <v>562</v>
      </c>
    </row>
    <row r="4" spans="1:11" x14ac:dyDescent="0.25">
      <c r="A4" s="401" t="s">
        <v>563</v>
      </c>
      <c r="B4" s="378"/>
      <c r="C4" s="402"/>
      <c r="D4" s="402"/>
      <c r="E4" s="403"/>
      <c r="F4" s="404"/>
      <c r="G4" s="402"/>
      <c r="H4" s="405"/>
      <c r="I4" s="406"/>
      <c r="J4" s="402"/>
      <c r="K4" s="403"/>
    </row>
    <row r="5" spans="1:11" ht="11.25" customHeight="1" x14ac:dyDescent="0.25">
      <c r="A5" s="361" t="s">
        <v>564</v>
      </c>
      <c r="B5" s="378"/>
      <c r="C5" s="407"/>
      <c r="D5" s="407"/>
      <c r="E5" s="408"/>
      <c r="F5" s="409"/>
      <c r="G5" s="407"/>
      <c r="H5" s="410"/>
      <c r="I5" s="411"/>
      <c r="J5" s="407"/>
      <c r="K5" s="408"/>
    </row>
    <row r="6" spans="1:11" ht="11.25" customHeight="1" x14ac:dyDescent="0.25">
      <c r="A6" s="360" t="s">
        <v>565</v>
      </c>
      <c r="B6" s="378">
        <v>3</v>
      </c>
      <c r="C6" s="407">
        <v>8</v>
      </c>
      <c r="D6" s="407"/>
      <c r="E6" s="408"/>
      <c r="F6" s="409">
        <v>7</v>
      </c>
      <c r="G6" s="407"/>
      <c r="H6" s="410"/>
      <c r="I6" s="411">
        <v>7</v>
      </c>
      <c r="J6" s="407"/>
      <c r="K6" s="408"/>
    </row>
    <row r="7" spans="1:11" ht="11.25" customHeight="1" x14ac:dyDescent="0.25">
      <c r="A7" s="401" t="s">
        <v>849</v>
      </c>
      <c r="B7" s="378">
        <v>4</v>
      </c>
      <c r="C7" s="407"/>
      <c r="D7" s="407"/>
      <c r="E7" s="408"/>
      <c r="F7" s="409"/>
      <c r="G7" s="407"/>
      <c r="H7" s="410"/>
      <c r="I7" s="411"/>
      <c r="J7" s="407"/>
      <c r="K7" s="408"/>
    </row>
    <row r="8" spans="1:11" ht="11.25" customHeight="1" x14ac:dyDescent="0.25">
      <c r="A8" s="360" t="s">
        <v>850</v>
      </c>
      <c r="B8" s="378">
        <v>2</v>
      </c>
      <c r="C8" s="407">
        <v>1</v>
      </c>
      <c r="D8" s="407"/>
      <c r="E8" s="408">
        <v>1</v>
      </c>
      <c r="F8" s="409">
        <v>1</v>
      </c>
      <c r="G8" s="407"/>
      <c r="H8" s="410">
        <v>1</v>
      </c>
      <c r="I8" s="411">
        <v>1</v>
      </c>
      <c r="J8" s="407"/>
      <c r="K8" s="408">
        <v>1</v>
      </c>
    </row>
    <row r="9" spans="1:11" ht="11.25" customHeight="1" x14ac:dyDescent="0.25">
      <c r="A9" s="360" t="s">
        <v>151</v>
      </c>
      <c r="B9" s="378">
        <v>6</v>
      </c>
      <c r="C9" s="407">
        <v>1</v>
      </c>
      <c r="D9" s="407">
        <v>1</v>
      </c>
      <c r="E9" s="408"/>
      <c r="F9" s="409">
        <v>1</v>
      </c>
      <c r="G9" s="407">
        <v>1</v>
      </c>
      <c r="H9" s="410"/>
      <c r="I9" s="411">
        <v>1</v>
      </c>
      <c r="J9" s="407">
        <v>1</v>
      </c>
      <c r="K9" s="408"/>
    </row>
    <row r="10" spans="1:11" ht="11.25" customHeight="1" x14ac:dyDescent="0.25">
      <c r="A10" s="360" t="s">
        <v>566</v>
      </c>
      <c r="B10" s="378"/>
      <c r="C10" s="412">
        <f>SUM(C11:C18)</f>
        <v>2</v>
      </c>
      <c r="D10" s="412">
        <f>SUM(D11:D18)</f>
        <v>2</v>
      </c>
      <c r="E10" s="413">
        <f t="shared" ref="E10:K10" si="0">SUM(E11:E18)</f>
        <v>0</v>
      </c>
      <c r="F10" s="414">
        <f t="shared" si="0"/>
        <v>2</v>
      </c>
      <c r="G10" s="412">
        <f t="shared" si="0"/>
        <v>2</v>
      </c>
      <c r="H10" s="415">
        <f t="shared" si="0"/>
        <v>0</v>
      </c>
      <c r="I10" s="416">
        <f t="shared" si="0"/>
        <v>2</v>
      </c>
      <c r="J10" s="412">
        <f t="shared" si="0"/>
        <v>2</v>
      </c>
      <c r="K10" s="413">
        <f t="shared" si="0"/>
        <v>0</v>
      </c>
    </row>
    <row r="11" spans="1:11" ht="11.25" customHeight="1" x14ac:dyDescent="0.25">
      <c r="A11" s="480" t="s">
        <v>249</v>
      </c>
      <c r="B11" s="378"/>
      <c r="C11" s="407">
        <v>2</v>
      </c>
      <c r="D11" s="407">
        <v>2</v>
      </c>
      <c r="E11" s="408"/>
      <c r="F11" s="409">
        <v>2</v>
      </c>
      <c r="G11" s="407">
        <v>2</v>
      </c>
      <c r="H11" s="410"/>
      <c r="I11" s="411">
        <v>2</v>
      </c>
      <c r="J11" s="407">
        <v>2</v>
      </c>
      <c r="K11" s="408"/>
    </row>
    <row r="12" spans="1:11" ht="11.25" customHeight="1" x14ac:dyDescent="0.25">
      <c r="A12" s="480" t="s">
        <v>567</v>
      </c>
      <c r="B12" s="378"/>
      <c r="C12" s="407"/>
      <c r="D12" s="407"/>
      <c r="E12" s="408"/>
      <c r="F12" s="409"/>
      <c r="G12" s="407"/>
      <c r="H12" s="410"/>
      <c r="I12" s="411"/>
      <c r="J12" s="407"/>
      <c r="K12" s="408"/>
    </row>
    <row r="13" spans="1:11" ht="11.25" customHeight="1" x14ac:dyDescent="0.25">
      <c r="A13" s="480" t="s">
        <v>281</v>
      </c>
      <c r="B13" s="378"/>
      <c r="C13" s="407"/>
      <c r="D13" s="407"/>
      <c r="E13" s="408"/>
      <c r="F13" s="409"/>
      <c r="G13" s="407"/>
      <c r="H13" s="410"/>
      <c r="I13" s="411"/>
      <c r="J13" s="407"/>
      <c r="K13" s="408"/>
    </row>
    <row r="14" spans="1:11" ht="11.25" customHeight="1" x14ac:dyDescent="0.25">
      <c r="A14" s="480" t="s">
        <v>568</v>
      </c>
      <c r="B14" s="378"/>
      <c r="C14" s="407"/>
      <c r="D14" s="407"/>
      <c r="E14" s="408"/>
      <c r="F14" s="409"/>
      <c r="G14" s="407"/>
      <c r="H14" s="410"/>
      <c r="I14" s="411"/>
      <c r="J14" s="407"/>
      <c r="K14" s="408"/>
    </row>
    <row r="15" spans="1:11" ht="11.25" customHeight="1" x14ac:dyDescent="0.25">
      <c r="A15" s="480" t="s">
        <v>161</v>
      </c>
      <c r="B15" s="378"/>
      <c r="C15" s="407"/>
      <c r="D15" s="407"/>
      <c r="E15" s="408"/>
      <c r="F15" s="409"/>
      <c r="G15" s="407"/>
      <c r="H15" s="410"/>
      <c r="I15" s="411"/>
      <c r="J15" s="407"/>
      <c r="K15" s="408"/>
    </row>
    <row r="16" spans="1:11" ht="11.25" customHeight="1" x14ac:dyDescent="0.25">
      <c r="A16" s="480" t="s">
        <v>3</v>
      </c>
      <c r="B16" s="378"/>
      <c r="C16" s="407"/>
      <c r="D16" s="407"/>
      <c r="E16" s="408"/>
      <c r="F16" s="409"/>
      <c r="G16" s="407"/>
      <c r="H16" s="410"/>
      <c r="I16" s="411"/>
      <c r="J16" s="407"/>
      <c r="K16" s="408"/>
    </row>
    <row r="17" spans="1:11" ht="11.25" customHeight="1" x14ac:dyDescent="0.25">
      <c r="A17" s="480" t="s">
        <v>4</v>
      </c>
      <c r="B17" s="378"/>
      <c r="C17" s="407"/>
      <c r="D17" s="407"/>
      <c r="E17" s="408"/>
      <c r="F17" s="409"/>
      <c r="G17" s="407"/>
      <c r="H17" s="410"/>
      <c r="I17" s="411"/>
      <c r="J17" s="407"/>
      <c r="K17" s="408"/>
    </row>
    <row r="18" spans="1:11" ht="11.25" customHeight="1" x14ac:dyDescent="0.25">
      <c r="A18" s="480" t="s">
        <v>106</v>
      </c>
      <c r="B18" s="378"/>
      <c r="C18" s="407"/>
      <c r="D18" s="407"/>
      <c r="E18" s="408"/>
      <c r="F18" s="409"/>
      <c r="G18" s="407"/>
      <c r="H18" s="410"/>
      <c r="I18" s="411"/>
      <c r="J18" s="407"/>
      <c r="K18" s="408"/>
    </row>
    <row r="19" spans="1:11" ht="11.25" customHeight="1" x14ac:dyDescent="0.25">
      <c r="A19" s="480" t="s">
        <v>256</v>
      </c>
      <c r="B19" s="378"/>
      <c r="C19" s="407">
        <v>2</v>
      </c>
      <c r="D19" s="407">
        <v>2</v>
      </c>
      <c r="E19" s="408"/>
      <c r="F19" s="409">
        <v>2</v>
      </c>
      <c r="G19" s="407">
        <v>2</v>
      </c>
      <c r="H19" s="410"/>
      <c r="I19" s="411">
        <v>2</v>
      </c>
      <c r="J19" s="407">
        <v>2</v>
      </c>
      <c r="K19" s="408"/>
    </row>
    <row r="20" spans="1:11" ht="11.25" customHeight="1" x14ac:dyDescent="0.25">
      <c r="A20" s="360" t="s">
        <v>569</v>
      </c>
      <c r="B20" s="378"/>
      <c r="C20" s="412">
        <f>SUM(C21:C28)</f>
        <v>0</v>
      </c>
      <c r="D20" s="412">
        <f>SUM(D21:D28)</f>
        <v>0</v>
      </c>
      <c r="E20" s="413">
        <f t="shared" ref="E20:K20" si="1">SUM(E21:E28)</f>
        <v>0</v>
      </c>
      <c r="F20" s="414">
        <f t="shared" si="1"/>
        <v>0</v>
      </c>
      <c r="G20" s="412">
        <f t="shared" si="1"/>
        <v>0</v>
      </c>
      <c r="H20" s="415">
        <f t="shared" si="1"/>
        <v>0</v>
      </c>
      <c r="I20" s="416">
        <f t="shared" si="1"/>
        <v>0</v>
      </c>
      <c r="J20" s="412">
        <f t="shared" si="1"/>
        <v>0</v>
      </c>
      <c r="K20" s="413">
        <f t="shared" si="1"/>
        <v>0</v>
      </c>
    </row>
    <row r="21" spans="1:11" ht="11.25" customHeight="1" x14ac:dyDescent="0.25">
      <c r="A21" s="480" t="s">
        <v>249</v>
      </c>
      <c r="B21" s="378"/>
      <c r="C21" s="407"/>
      <c r="D21" s="407"/>
      <c r="E21" s="408"/>
      <c r="F21" s="409"/>
      <c r="G21" s="407"/>
      <c r="H21" s="410"/>
      <c r="I21" s="411"/>
      <c r="J21" s="407"/>
      <c r="K21" s="408"/>
    </row>
    <row r="22" spans="1:11" ht="11.25" customHeight="1" x14ac:dyDescent="0.25">
      <c r="A22" s="480" t="s">
        <v>567</v>
      </c>
      <c r="B22" s="378"/>
      <c r="C22" s="407"/>
      <c r="D22" s="407"/>
      <c r="E22" s="408"/>
      <c r="F22" s="409"/>
      <c r="G22" s="407"/>
      <c r="H22" s="410"/>
      <c r="I22" s="411"/>
      <c r="J22" s="407"/>
      <c r="K22" s="408"/>
    </row>
    <row r="23" spans="1:11" ht="11.25" customHeight="1" x14ac:dyDescent="0.25">
      <c r="A23" s="480" t="s">
        <v>281</v>
      </c>
      <c r="B23" s="378"/>
      <c r="C23" s="407"/>
      <c r="D23" s="407"/>
      <c r="E23" s="408"/>
      <c r="F23" s="409"/>
      <c r="G23" s="407"/>
      <c r="H23" s="410"/>
      <c r="I23" s="411"/>
      <c r="J23" s="407"/>
      <c r="K23" s="408"/>
    </row>
    <row r="24" spans="1:11" ht="11.25" customHeight="1" x14ac:dyDescent="0.25">
      <c r="A24" s="480" t="s">
        <v>568</v>
      </c>
      <c r="B24" s="378"/>
      <c r="C24" s="407"/>
      <c r="D24" s="407"/>
      <c r="E24" s="408"/>
      <c r="F24" s="409"/>
      <c r="G24" s="407"/>
      <c r="H24" s="410"/>
      <c r="I24" s="411"/>
      <c r="J24" s="407"/>
      <c r="K24" s="408"/>
    </row>
    <row r="25" spans="1:11" ht="11.25" customHeight="1" x14ac:dyDescent="0.25">
      <c r="A25" s="480" t="s">
        <v>161</v>
      </c>
      <c r="B25" s="378"/>
      <c r="C25" s="407"/>
      <c r="D25" s="407"/>
      <c r="E25" s="408"/>
      <c r="F25" s="409"/>
      <c r="G25" s="407"/>
      <c r="H25" s="410"/>
      <c r="I25" s="411"/>
      <c r="J25" s="407"/>
      <c r="K25" s="408"/>
    </row>
    <row r="26" spans="1:11" ht="11.25" customHeight="1" x14ac:dyDescent="0.25">
      <c r="A26" s="480" t="s">
        <v>3</v>
      </c>
      <c r="B26" s="378"/>
      <c r="C26" s="407"/>
      <c r="D26" s="407"/>
      <c r="E26" s="408"/>
      <c r="F26" s="409"/>
      <c r="G26" s="407"/>
      <c r="H26" s="410"/>
      <c r="I26" s="411"/>
      <c r="J26" s="407"/>
      <c r="K26" s="408"/>
    </row>
    <row r="27" spans="1:11" ht="11.25" customHeight="1" x14ac:dyDescent="0.25">
      <c r="A27" s="480" t="s">
        <v>4</v>
      </c>
      <c r="B27" s="378"/>
      <c r="C27" s="407"/>
      <c r="D27" s="407"/>
      <c r="E27" s="408"/>
      <c r="F27" s="409"/>
      <c r="G27" s="407"/>
      <c r="H27" s="410"/>
      <c r="I27" s="411"/>
      <c r="J27" s="407"/>
      <c r="K27" s="408"/>
    </row>
    <row r="28" spans="1:11" ht="11.25" customHeight="1" x14ac:dyDescent="0.25">
      <c r="A28" s="480" t="s">
        <v>106</v>
      </c>
      <c r="B28" s="378"/>
      <c r="C28" s="407"/>
      <c r="D28" s="407"/>
      <c r="E28" s="408"/>
      <c r="F28" s="409"/>
      <c r="G28" s="407"/>
      <c r="H28" s="410"/>
      <c r="I28" s="411"/>
      <c r="J28" s="407"/>
      <c r="K28" s="408"/>
    </row>
    <row r="29" spans="1:11" ht="11.25" customHeight="1" x14ac:dyDescent="0.25">
      <c r="A29" s="480" t="s">
        <v>256</v>
      </c>
      <c r="B29" s="378"/>
      <c r="C29" s="407"/>
      <c r="D29" s="407"/>
      <c r="E29" s="408"/>
      <c r="F29" s="409"/>
      <c r="G29" s="407"/>
      <c r="H29" s="410"/>
      <c r="I29" s="411"/>
      <c r="J29" s="407"/>
      <c r="K29" s="408"/>
    </row>
    <row r="30" spans="1:11" ht="11.25" customHeight="1" x14ac:dyDescent="0.25">
      <c r="A30" s="360" t="s">
        <v>570</v>
      </c>
      <c r="B30" s="378"/>
      <c r="C30" s="407"/>
      <c r="D30" s="407"/>
      <c r="E30" s="408"/>
      <c r="F30" s="409"/>
      <c r="G30" s="407"/>
      <c r="H30" s="410"/>
      <c r="I30" s="411"/>
      <c r="J30" s="407"/>
      <c r="K30" s="408"/>
    </row>
    <row r="31" spans="1:11" ht="11.25" customHeight="1" x14ac:dyDescent="0.25">
      <c r="A31" s="360" t="s">
        <v>571</v>
      </c>
      <c r="B31" s="378"/>
      <c r="C31" s="407"/>
      <c r="D31" s="407"/>
      <c r="E31" s="408"/>
      <c r="F31" s="409"/>
      <c r="G31" s="407"/>
      <c r="H31" s="410"/>
      <c r="I31" s="411"/>
      <c r="J31" s="407"/>
      <c r="K31" s="408"/>
    </row>
    <row r="32" spans="1:11" ht="11.25" customHeight="1" x14ac:dyDescent="0.25">
      <c r="A32" s="360" t="s">
        <v>572</v>
      </c>
      <c r="B32" s="378"/>
      <c r="C32" s="407"/>
      <c r="D32" s="407"/>
      <c r="E32" s="408"/>
      <c r="F32" s="409"/>
      <c r="G32" s="407"/>
      <c r="H32" s="410"/>
      <c r="I32" s="411"/>
      <c r="J32" s="407"/>
      <c r="K32" s="408"/>
    </row>
    <row r="33" spans="1:11" ht="11.25" customHeight="1" x14ac:dyDescent="0.25">
      <c r="A33" s="360" t="s">
        <v>573</v>
      </c>
      <c r="B33" s="378"/>
      <c r="C33" s="407"/>
      <c r="D33" s="407"/>
      <c r="E33" s="408"/>
      <c r="F33" s="409"/>
      <c r="G33" s="407"/>
      <c r="H33" s="410"/>
      <c r="I33" s="411"/>
      <c r="J33" s="407"/>
      <c r="K33" s="408"/>
    </row>
    <row r="34" spans="1:11" ht="11.25" customHeight="1" x14ac:dyDescent="0.25">
      <c r="A34" s="360" t="s">
        <v>574</v>
      </c>
      <c r="B34" s="378"/>
      <c r="C34" s="407"/>
      <c r="D34" s="407"/>
      <c r="E34" s="408"/>
      <c r="F34" s="409"/>
      <c r="G34" s="407"/>
      <c r="H34" s="410"/>
      <c r="I34" s="411"/>
      <c r="J34" s="407"/>
      <c r="K34" s="408"/>
    </row>
    <row r="35" spans="1:11" ht="11.25" customHeight="1" x14ac:dyDescent="0.25">
      <c r="A35" s="360" t="s">
        <v>575</v>
      </c>
      <c r="B35" s="378"/>
      <c r="C35" s="407"/>
      <c r="D35" s="407"/>
      <c r="E35" s="408"/>
      <c r="F35" s="409"/>
      <c r="G35" s="407"/>
      <c r="H35" s="410"/>
      <c r="I35" s="411"/>
      <c r="J35" s="407"/>
      <c r="K35" s="408"/>
    </row>
    <row r="36" spans="1:11" ht="11.25" customHeight="1" x14ac:dyDescent="0.25">
      <c r="A36" s="481" t="s">
        <v>851</v>
      </c>
      <c r="B36" s="378"/>
      <c r="C36" s="417">
        <f>SUM(C5:C9)+SUM(C11:C19)+SUM(C21:C35)</f>
        <v>14</v>
      </c>
      <c r="D36" s="417">
        <f t="shared" ref="D36:K36" si="2">SUM(D5:D9)+SUM(D11:D19)+SUM(D21:D35)</f>
        <v>5</v>
      </c>
      <c r="E36" s="418">
        <f t="shared" si="2"/>
        <v>1</v>
      </c>
      <c r="F36" s="419">
        <f t="shared" si="2"/>
        <v>13</v>
      </c>
      <c r="G36" s="417">
        <f t="shared" si="2"/>
        <v>5</v>
      </c>
      <c r="H36" s="420">
        <f t="shared" si="2"/>
        <v>1</v>
      </c>
      <c r="I36" s="421">
        <f t="shared" si="2"/>
        <v>13</v>
      </c>
      <c r="J36" s="417">
        <f t="shared" si="2"/>
        <v>5</v>
      </c>
      <c r="K36" s="420">
        <f t="shared" si="2"/>
        <v>1</v>
      </c>
    </row>
    <row r="37" spans="1:11" ht="11.25" customHeight="1" x14ac:dyDescent="0.25">
      <c r="A37" s="482" t="s">
        <v>259</v>
      </c>
      <c r="B37" s="378"/>
      <c r="C37" s="422"/>
      <c r="D37" s="423">
        <f>IF(ISERROR((D36/C36)-1),0,((D36/C36)-1))</f>
        <v>-0.64285714285714279</v>
      </c>
      <c r="E37" s="424">
        <f>IF(ISERROR((E36/D36)-1),0,((E36/D36)-1))</f>
        <v>-0.8</v>
      </c>
      <c r="F37" s="425">
        <f>IF(ISERROR((F36/E36)-1),0,((F36/E36)-1))</f>
        <v>12</v>
      </c>
      <c r="G37" s="426">
        <f>IF(ISERROR((G36/E36)-1),0,((G36/E36)-1))</f>
        <v>4</v>
      </c>
      <c r="H37" s="427">
        <f>IF(ISERROR((H36/E36)-1),0,((H36/E36)-1))</f>
        <v>0</v>
      </c>
      <c r="I37" s="428">
        <f>IF(ISERROR((I36/H36)-1),0,((I36/H36)-1))</f>
        <v>12</v>
      </c>
      <c r="J37" s="426">
        <f>IF(ISERROR((J36/I36)-1),0,((J36/I36)-1))</f>
        <v>-0.61538461538461542</v>
      </c>
      <c r="K37" s="429">
        <f>IF(ISERROR((K36/J36)-1),0,((K36/J36)-1))</f>
        <v>-0.8</v>
      </c>
    </row>
    <row r="38" spans="1:11" ht="3.75" customHeight="1" x14ac:dyDescent="0.25">
      <c r="A38" s="482"/>
      <c r="B38" s="378"/>
      <c r="C38" s="422"/>
      <c r="D38" s="426"/>
      <c r="E38" s="429"/>
      <c r="F38" s="425"/>
      <c r="G38" s="426"/>
      <c r="H38" s="427"/>
      <c r="I38" s="428"/>
      <c r="J38" s="426"/>
      <c r="K38" s="429"/>
    </row>
    <row r="39" spans="1:11" ht="11.25" customHeight="1" x14ac:dyDescent="0.25">
      <c r="A39" s="401" t="s">
        <v>585</v>
      </c>
      <c r="B39" s="378">
        <v>5</v>
      </c>
      <c r="C39" s="430"/>
      <c r="D39" s="431"/>
      <c r="E39" s="432"/>
      <c r="F39" s="433"/>
      <c r="G39" s="434"/>
      <c r="H39" s="435"/>
      <c r="I39" s="436"/>
      <c r="J39" s="434"/>
      <c r="K39" s="437"/>
    </row>
    <row r="40" spans="1:11" ht="11.25" customHeight="1" x14ac:dyDescent="0.25">
      <c r="A40" s="361" t="s">
        <v>576</v>
      </c>
      <c r="B40" s="378">
        <v>7</v>
      </c>
      <c r="C40" s="430"/>
      <c r="D40" s="431"/>
      <c r="E40" s="432"/>
      <c r="F40" s="433"/>
      <c r="G40" s="434"/>
      <c r="H40" s="435"/>
      <c r="I40" s="436"/>
      <c r="J40" s="434"/>
      <c r="K40" s="437"/>
    </row>
    <row r="41" spans="1:11" ht="11.25" customHeight="1" x14ac:dyDescent="0.25">
      <c r="A41" s="438" t="s">
        <v>577</v>
      </c>
      <c r="B41" s="439">
        <v>7</v>
      </c>
      <c r="C41" s="440"/>
      <c r="D41" s="441"/>
      <c r="E41" s="442"/>
      <c r="F41" s="443"/>
      <c r="G41" s="444"/>
      <c r="H41" s="445"/>
      <c r="I41" s="446"/>
      <c r="J41" s="444"/>
      <c r="K41" s="447"/>
    </row>
    <row r="42" spans="1:11" ht="11.25" customHeight="1" x14ac:dyDescent="0.25">
      <c r="A42" s="448"/>
      <c r="B42" s="36"/>
      <c r="C42" s="52"/>
      <c r="D42" s="52"/>
      <c r="E42" s="52"/>
      <c r="F42" s="52"/>
      <c r="G42" s="52"/>
      <c r="H42" s="52"/>
      <c r="I42" s="52"/>
      <c r="J42" s="52"/>
      <c r="K42" s="52"/>
    </row>
    <row r="43" spans="1:11" ht="11.25" customHeight="1" x14ac:dyDescent="0.25">
      <c r="A43" s="491" t="str">
        <f>head27a</f>
        <v>References</v>
      </c>
      <c r="B43" s="449"/>
      <c r="C43" s="450"/>
      <c r="D43" s="450"/>
      <c r="E43" s="450"/>
      <c r="F43" s="450"/>
      <c r="G43" s="450"/>
      <c r="H43" s="450"/>
      <c r="I43" s="450"/>
      <c r="J43" s="450"/>
      <c r="K43" s="450"/>
    </row>
    <row r="44" spans="1:11" ht="11.25" customHeight="1" x14ac:dyDescent="0.25">
      <c r="A44" s="492" t="s">
        <v>578</v>
      </c>
      <c r="B44" s="451"/>
      <c r="C44" s="452"/>
      <c r="D44" s="452"/>
      <c r="E44" s="452"/>
      <c r="F44" s="452"/>
      <c r="G44" s="452"/>
      <c r="H44" s="452"/>
      <c r="I44" s="452"/>
      <c r="J44" s="452"/>
      <c r="K44" s="452"/>
    </row>
    <row r="45" spans="1:11" ht="11.25" customHeight="1" x14ac:dyDescent="0.25">
      <c r="A45" s="492" t="s">
        <v>579</v>
      </c>
      <c r="B45" s="451"/>
      <c r="C45" s="452"/>
      <c r="D45" s="452"/>
      <c r="E45" s="452"/>
      <c r="F45" s="452"/>
      <c r="G45" s="452"/>
      <c r="H45" s="452"/>
      <c r="I45" s="452"/>
      <c r="J45" s="452"/>
      <c r="K45" s="452"/>
    </row>
    <row r="46" spans="1:11" ht="11.25" customHeight="1" x14ac:dyDescent="0.25">
      <c r="A46" s="492" t="s">
        <v>580</v>
      </c>
      <c r="B46" s="451"/>
      <c r="C46" s="452"/>
      <c r="D46" s="452"/>
      <c r="E46" s="452"/>
      <c r="F46" s="452"/>
      <c r="G46" s="452"/>
      <c r="H46" s="452"/>
      <c r="I46" s="452"/>
      <c r="J46" s="452"/>
      <c r="K46" s="452"/>
    </row>
    <row r="47" spans="1:11" ht="11.25" customHeight="1" x14ac:dyDescent="0.25">
      <c r="A47" s="492" t="s">
        <v>581</v>
      </c>
      <c r="B47" s="451"/>
      <c r="C47" s="452"/>
      <c r="D47" s="452"/>
      <c r="E47" s="452"/>
      <c r="F47" s="452"/>
      <c r="G47" s="452"/>
      <c r="H47" s="452"/>
      <c r="I47" s="452"/>
      <c r="J47" s="452"/>
      <c r="K47" s="452"/>
    </row>
    <row r="48" spans="1:11" ht="11.25" customHeight="1" x14ac:dyDescent="0.25">
      <c r="A48" s="492" t="s">
        <v>582</v>
      </c>
      <c r="B48" s="451"/>
      <c r="C48" s="452"/>
      <c r="D48" s="452"/>
      <c r="E48" s="452"/>
      <c r="F48" s="452"/>
      <c r="G48" s="452"/>
      <c r="H48" s="452"/>
      <c r="I48" s="452"/>
      <c r="J48" s="452"/>
      <c r="K48" s="452"/>
    </row>
    <row r="49" spans="1:11" ht="11.25" customHeight="1" x14ac:dyDescent="0.25">
      <c r="A49" s="492" t="s">
        <v>583</v>
      </c>
      <c r="B49" s="451"/>
      <c r="C49" s="452"/>
      <c r="D49" s="452"/>
      <c r="E49" s="452"/>
      <c r="F49" s="452"/>
      <c r="G49" s="452"/>
      <c r="H49" s="452"/>
      <c r="I49" s="452"/>
      <c r="J49" s="452"/>
      <c r="K49" s="452"/>
    </row>
    <row r="50" spans="1:11" ht="11.25" customHeight="1" x14ac:dyDescent="0.25">
      <c r="A50" s="492" t="s">
        <v>584</v>
      </c>
      <c r="B50" s="451"/>
      <c r="C50" s="452"/>
      <c r="D50" s="452"/>
      <c r="E50" s="452"/>
      <c r="F50" s="452"/>
      <c r="G50" s="452"/>
      <c r="H50" s="452"/>
      <c r="I50" s="452"/>
      <c r="J50" s="452"/>
      <c r="K50" s="452"/>
    </row>
  </sheetData>
  <sheetProtection sheet="1" objects="1" scenarios="1"/>
  <mergeCells count="3">
    <mergeCell ref="C2:E2"/>
    <mergeCell ref="F2:H2"/>
    <mergeCell ref="I2:K2"/>
  </mergeCells>
  <phoneticPr fontId="2" type="noConversion"/>
  <pageMargins left="0.75" right="0.75" top="1" bottom="1" header="0.5" footer="0.5"/>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5">
    <tabColor rgb="FFCCFFCC"/>
    <pageSetUpPr fitToPage="1"/>
  </sheetPr>
  <dimension ref="A1:Q64"/>
  <sheetViews>
    <sheetView showGridLines="0" zoomScaleNormal="100" workbookViewId="0">
      <pane xSplit="1" ySplit="4" topLeftCell="B29" activePane="bottomRight" state="frozen"/>
      <selection activeCell="M29" sqref="M29"/>
      <selection pane="topRight" activeCell="M29" sqref="M29"/>
      <selection pane="bottomLeft" activeCell="M29" sqref="M29"/>
      <selection pane="bottomRight" activeCell="K45" sqref="K45"/>
    </sheetView>
  </sheetViews>
  <sheetFormatPr defaultRowHeight="13.5" x14ac:dyDescent="0.25"/>
  <cols>
    <col min="1" max="1" width="41.7109375" style="20" customWidth="1"/>
    <col min="2" max="13" width="8.7109375" style="20" customWidth="1"/>
    <col min="14" max="14" width="8.7109375" style="20" hidden="1" customWidth="1"/>
    <col min="15" max="17" width="8.7109375" style="20" customWidth="1"/>
  </cols>
  <sheetData>
    <row r="1" spans="1:17" x14ac:dyDescent="0.25">
      <c r="A1" s="112" t="str">
        <f>_MEB8</f>
        <v>GREATER TZANEEN ECONOMIC DEVELOPMENT AGENCY - Supporting Table SD6 Budgeted monthly cash and revenue/expenditure</v>
      </c>
      <c r="C1" s="43"/>
    </row>
    <row r="2" spans="1:17" ht="25.5" x14ac:dyDescent="0.2">
      <c r="A2" s="641" t="str">
        <f>desc</f>
        <v>Description</v>
      </c>
      <c r="B2" s="131" t="str">
        <f>Head9</f>
        <v>Budget Year 2018/19</v>
      </c>
      <c r="C2" s="129"/>
      <c r="D2" s="129"/>
      <c r="E2" s="129"/>
      <c r="F2" s="129"/>
      <c r="G2" s="129"/>
      <c r="H2" s="129"/>
      <c r="I2" s="129"/>
      <c r="J2" s="129"/>
      <c r="K2" s="129"/>
      <c r="L2" s="129"/>
      <c r="M2" s="129"/>
      <c r="N2" s="139"/>
      <c r="O2" s="131" t="str">
        <f>Head3a</f>
        <v>Medium Term Revenue and Expenditure Framework</v>
      </c>
      <c r="P2" s="129"/>
      <c r="Q2" s="130"/>
    </row>
    <row r="3" spans="1:17" ht="12.75" x14ac:dyDescent="0.2">
      <c r="A3" s="642"/>
      <c r="B3" s="126" t="s">
        <v>300</v>
      </c>
      <c r="C3" s="101" t="s">
        <v>392</v>
      </c>
      <c r="D3" s="101" t="s">
        <v>393</v>
      </c>
      <c r="E3" s="101" t="s">
        <v>394</v>
      </c>
      <c r="F3" s="101" t="s">
        <v>395</v>
      </c>
      <c r="G3" s="113" t="s">
        <v>396</v>
      </c>
      <c r="H3" s="127" t="s">
        <v>397</v>
      </c>
      <c r="I3" s="153" t="s">
        <v>398</v>
      </c>
      <c r="J3" s="101" t="s">
        <v>399</v>
      </c>
      <c r="K3" s="101" t="s">
        <v>400</v>
      </c>
      <c r="L3" s="127" t="s">
        <v>401</v>
      </c>
      <c r="M3" s="153" t="s">
        <v>402</v>
      </c>
      <c r="N3" s="160"/>
      <c r="O3" s="637" t="str">
        <f>Head9</f>
        <v>Budget Year 2018/19</v>
      </c>
      <c r="P3" s="639" t="str">
        <f>Head10</f>
        <v>Budget Year +1 2019/20</v>
      </c>
      <c r="Q3" s="635" t="str">
        <f>Head11</f>
        <v>Budget Year +2 2020/21</v>
      </c>
    </row>
    <row r="4" spans="1:17" ht="13.5" customHeight="1" x14ac:dyDescent="0.25">
      <c r="A4" s="159" t="s">
        <v>206</v>
      </c>
      <c r="B4" s="158"/>
      <c r="C4" s="156"/>
      <c r="D4" s="156"/>
      <c r="E4" s="156"/>
      <c r="F4" s="156"/>
      <c r="G4" s="157"/>
      <c r="H4" s="156"/>
      <c r="I4" s="157"/>
      <c r="J4" s="156"/>
      <c r="K4" s="156"/>
      <c r="L4" s="156"/>
      <c r="M4" s="157"/>
      <c r="N4" s="161"/>
      <c r="O4" s="638"/>
      <c r="P4" s="640"/>
      <c r="Q4" s="636"/>
    </row>
    <row r="5" spans="1:17" ht="12.75" customHeight="1" x14ac:dyDescent="0.25">
      <c r="A5" s="22" t="s">
        <v>53</v>
      </c>
      <c r="B5" s="28"/>
      <c r="C5" s="27"/>
      <c r="D5" s="27"/>
      <c r="E5" s="27"/>
      <c r="F5" s="27"/>
      <c r="G5" s="63"/>
      <c r="H5" s="27"/>
      <c r="I5" s="27"/>
      <c r="J5" s="27"/>
      <c r="K5" s="27"/>
      <c r="L5" s="27"/>
      <c r="M5" s="63"/>
      <c r="N5" s="97"/>
      <c r="O5" s="28"/>
      <c r="P5" s="27"/>
      <c r="Q5" s="105"/>
    </row>
    <row r="6" spans="1:17" ht="12.75" customHeight="1" x14ac:dyDescent="0.25">
      <c r="A6" s="361" t="s">
        <v>409</v>
      </c>
      <c r="B6" s="272"/>
      <c r="C6" s="270"/>
      <c r="D6" s="270"/>
      <c r="E6" s="270"/>
      <c r="F6" s="270"/>
      <c r="G6" s="301"/>
      <c r="H6" s="270"/>
      <c r="I6" s="270"/>
      <c r="J6" s="270"/>
      <c r="K6" s="270"/>
      <c r="L6" s="270"/>
      <c r="M6" s="63">
        <f t="shared" ref="M6:M21" si="0">O6-SUM(B6:L6)</f>
        <v>0</v>
      </c>
      <c r="N6" s="97"/>
      <c r="O6" s="28">
        <f>'D2-FinPerf'!I5</f>
        <v>0</v>
      </c>
      <c r="P6" s="27">
        <f>'D2-FinPerf'!J5</f>
        <v>0</v>
      </c>
      <c r="Q6" s="105">
        <f>'D2-FinPerf'!K5</f>
        <v>0</v>
      </c>
    </row>
    <row r="7" spans="1:17" ht="12.75" customHeight="1" x14ac:dyDescent="0.25">
      <c r="A7" s="361" t="s">
        <v>344</v>
      </c>
      <c r="B7" s="272"/>
      <c r="C7" s="270"/>
      <c r="D7" s="270"/>
      <c r="E7" s="270"/>
      <c r="F7" s="270"/>
      <c r="G7" s="301"/>
      <c r="H7" s="270"/>
      <c r="I7" s="270"/>
      <c r="J7" s="270"/>
      <c r="K7" s="270"/>
      <c r="L7" s="270"/>
      <c r="M7" s="63">
        <f t="shared" si="0"/>
        <v>0</v>
      </c>
      <c r="N7" s="97"/>
      <c r="O7" s="28">
        <f>'D2-FinPerf'!I6</f>
        <v>0</v>
      </c>
      <c r="P7" s="27">
        <f>'D2-FinPerf'!J6</f>
        <v>0</v>
      </c>
      <c r="Q7" s="105">
        <f>'D2-FinPerf'!K6</f>
        <v>0</v>
      </c>
    </row>
    <row r="8" spans="1:17" ht="12.75" customHeight="1" x14ac:dyDescent="0.25">
      <c r="A8" s="361" t="s">
        <v>345</v>
      </c>
      <c r="B8" s="272"/>
      <c r="C8" s="270"/>
      <c r="D8" s="270"/>
      <c r="E8" s="270"/>
      <c r="F8" s="270"/>
      <c r="G8" s="301"/>
      <c r="H8" s="270"/>
      <c r="I8" s="270"/>
      <c r="J8" s="270"/>
      <c r="K8" s="270"/>
      <c r="L8" s="270"/>
      <c r="M8" s="63">
        <f t="shared" si="0"/>
        <v>0</v>
      </c>
      <c r="N8" s="97"/>
      <c r="O8" s="28">
        <f>'D2-FinPerf'!I7</f>
        <v>0</v>
      </c>
      <c r="P8" s="27">
        <f>'D2-FinPerf'!J7</f>
        <v>0</v>
      </c>
      <c r="Q8" s="105">
        <f>'D2-FinPerf'!K7</f>
        <v>0</v>
      </c>
    </row>
    <row r="9" spans="1:17" ht="12.75" customHeight="1" x14ac:dyDescent="0.25">
      <c r="A9" s="361" t="s">
        <v>346</v>
      </c>
      <c r="B9" s="272"/>
      <c r="C9" s="270"/>
      <c r="D9" s="270"/>
      <c r="E9" s="270"/>
      <c r="F9" s="270"/>
      <c r="G9" s="301"/>
      <c r="H9" s="270"/>
      <c r="I9" s="270"/>
      <c r="J9" s="270"/>
      <c r="K9" s="270"/>
      <c r="L9" s="270"/>
      <c r="M9" s="63">
        <f t="shared" si="0"/>
        <v>0</v>
      </c>
      <c r="N9" s="97"/>
      <c r="O9" s="28">
        <f>'D2-FinPerf'!I8</f>
        <v>0</v>
      </c>
      <c r="P9" s="27">
        <f>'D2-FinPerf'!J8</f>
        <v>0</v>
      </c>
      <c r="Q9" s="105">
        <f>'D2-FinPerf'!K8</f>
        <v>0</v>
      </c>
    </row>
    <row r="10" spans="1:17" ht="12.75" customHeight="1" x14ac:dyDescent="0.25">
      <c r="A10" s="361" t="s">
        <v>835</v>
      </c>
      <c r="B10" s="272"/>
      <c r="C10" s="270"/>
      <c r="D10" s="270"/>
      <c r="E10" s="270"/>
      <c r="F10" s="270"/>
      <c r="G10" s="301"/>
      <c r="H10" s="270"/>
      <c r="I10" s="270"/>
      <c r="J10" s="270"/>
      <c r="K10" s="270"/>
      <c r="L10" s="270"/>
      <c r="M10" s="63">
        <f t="shared" si="0"/>
        <v>0</v>
      </c>
      <c r="N10" s="97"/>
      <c r="O10" s="28">
        <f>'D2-FinPerf'!I9</f>
        <v>0</v>
      </c>
      <c r="P10" s="27">
        <f>'D2-FinPerf'!J9</f>
        <v>0</v>
      </c>
      <c r="Q10" s="105">
        <f>'D2-FinPerf'!K9</f>
        <v>0</v>
      </c>
    </row>
    <row r="11" spans="1:17" ht="12.75" customHeight="1" x14ac:dyDescent="0.25">
      <c r="A11" s="361" t="s">
        <v>347</v>
      </c>
      <c r="B11" s="272"/>
      <c r="C11" s="270"/>
      <c r="D11" s="270"/>
      <c r="E11" s="270"/>
      <c r="F11" s="270"/>
      <c r="G11" s="301"/>
      <c r="H11" s="270"/>
      <c r="I11" s="270"/>
      <c r="J11" s="270"/>
      <c r="K11" s="270"/>
      <c r="L11" s="270"/>
      <c r="M11" s="63">
        <f t="shared" si="0"/>
        <v>0</v>
      </c>
      <c r="N11" s="97"/>
      <c r="O11" s="28">
        <f>'D2-FinPerf'!I10</f>
        <v>0</v>
      </c>
      <c r="P11" s="27">
        <f>'D2-FinPerf'!J10</f>
        <v>0</v>
      </c>
      <c r="Q11" s="105">
        <f>'D2-FinPerf'!K10</f>
        <v>0</v>
      </c>
    </row>
    <row r="12" spans="1:17" ht="12.75" customHeight="1" x14ac:dyDescent="0.25">
      <c r="A12" s="361" t="s">
        <v>458</v>
      </c>
      <c r="B12" s="272"/>
      <c r="C12" s="270"/>
      <c r="D12" s="270"/>
      <c r="E12" s="270"/>
      <c r="F12" s="270"/>
      <c r="G12" s="301"/>
      <c r="H12" s="270"/>
      <c r="I12" s="270"/>
      <c r="J12" s="270"/>
      <c r="K12" s="270"/>
      <c r="L12" s="270"/>
      <c r="M12" s="63">
        <f t="shared" si="0"/>
        <v>0</v>
      </c>
      <c r="N12" s="97"/>
      <c r="O12" s="28">
        <f>'D2-FinPerf'!I11</f>
        <v>0</v>
      </c>
      <c r="P12" s="27">
        <f>'D2-FinPerf'!J11</f>
        <v>0</v>
      </c>
      <c r="Q12" s="105">
        <f>'D2-FinPerf'!K11</f>
        <v>0</v>
      </c>
    </row>
    <row r="13" spans="1:17" ht="12.75" customHeight="1" x14ac:dyDescent="0.25">
      <c r="A13" s="361" t="s">
        <v>351</v>
      </c>
      <c r="B13" s="272"/>
      <c r="C13" s="270"/>
      <c r="D13" s="270"/>
      <c r="E13" s="270"/>
      <c r="F13" s="270"/>
      <c r="G13" s="301"/>
      <c r="H13" s="270"/>
      <c r="I13" s="270"/>
      <c r="J13" s="270"/>
      <c r="K13" s="270"/>
      <c r="L13" s="270"/>
      <c r="M13" s="63">
        <f t="shared" si="0"/>
        <v>0</v>
      </c>
      <c r="N13" s="97"/>
      <c r="O13" s="28">
        <f>'D2-FinPerf'!I12</f>
        <v>0</v>
      </c>
      <c r="P13" s="27">
        <f>'D2-FinPerf'!J12</f>
        <v>0</v>
      </c>
      <c r="Q13" s="105">
        <f>'D2-FinPerf'!K12</f>
        <v>0</v>
      </c>
    </row>
    <row r="14" spans="1:17" ht="12.75" customHeight="1" x14ac:dyDescent="0.25">
      <c r="A14" s="361" t="s">
        <v>352</v>
      </c>
      <c r="B14" s="272"/>
      <c r="C14" s="270"/>
      <c r="D14" s="270"/>
      <c r="E14" s="270"/>
      <c r="F14" s="270"/>
      <c r="G14" s="301"/>
      <c r="H14" s="270"/>
      <c r="I14" s="270"/>
      <c r="J14" s="270"/>
      <c r="K14" s="270"/>
      <c r="L14" s="270"/>
      <c r="M14" s="63">
        <f t="shared" si="0"/>
        <v>0</v>
      </c>
      <c r="N14" s="97"/>
      <c r="O14" s="28">
        <f>'D2-FinPerf'!I13</f>
        <v>0</v>
      </c>
      <c r="P14" s="27">
        <f>'D2-FinPerf'!J13</f>
        <v>0</v>
      </c>
      <c r="Q14" s="105">
        <f>'D2-FinPerf'!K13</f>
        <v>0</v>
      </c>
    </row>
    <row r="15" spans="1:17" ht="12.75" customHeight="1" x14ac:dyDescent="0.25">
      <c r="A15" s="361" t="s">
        <v>404</v>
      </c>
      <c r="B15" s="272"/>
      <c r="C15" s="270"/>
      <c r="D15" s="270"/>
      <c r="E15" s="270"/>
      <c r="F15" s="270"/>
      <c r="G15" s="301"/>
      <c r="H15" s="270"/>
      <c r="I15" s="270"/>
      <c r="J15" s="270"/>
      <c r="K15" s="270"/>
      <c r="L15" s="270"/>
      <c r="M15" s="63">
        <f t="shared" si="0"/>
        <v>0</v>
      </c>
      <c r="N15" s="97"/>
      <c r="O15" s="28">
        <f>'D2-FinPerf'!I14</f>
        <v>0</v>
      </c>
      <c r="P15" s="27">
        <f>'D2-FinPerf'!J14</f>
        <v>0</v>
      </c>
      <c r="Q15" s="105">
        <f>'D2-FinPerf'!K14</f>
        <v>0</v>
      </c>
    </row>
    <row r="16" spans="1:17" ht="12.75" customHeight="1" x14ac:dyDescent="0.25">
      <c r="A16" s="361" t="s">
        <v>939</v>
      </c>
      <c r="B16" s="272"/>
      <c r="C16" s="270"/>
      <c r="D16" s="270"/>
      <c r="E16" s="270"/>
      <c r="F16" s="270"/>
      <c r="G16" s="301"/>
      <c r="H16" s="270"/>
      <c r="I16" s="270"/>
      <c r="J16" s="270"/>
      <c r="K16" s="270"/>
      <c r="L16" s="270"/>
      <c r="M16" s="63">
        <f t="shared" si="0"/>
        <v>0</v>
      </c>
      <c r="N16" s="97"/>
      <c r="O16" s="28">
        <f>'D2-FinPerf'!I15</f>
        <v>0</v>
      </c>
      <c r="P16" s="27">
        <f>'D2-FinPerf'!J15</f>
        <v>0</v>
      </c>
      <c r="Q16" s="105">
        <f>'D2-FinPerf'!K15</f>
        <v>0</v>
      </c>
    </row>
    <row r="17" spans="1:17" ht="12.75" customHeight="1" x14ac:dyDescent="0.25">
      <c r="A17" s="361" t="s">
        <v>353</v>
      </c>
      <c r="B17" s="272"/>
      <c r="C17" s="270"/>
      <c r="D17" s="270"/>
      <c r="E17" s="270"/>
      <c r="F17" s="270"/>
      <c r="G17" s="301"/>
      <c r="H17" s="270"/>
      <c r="I17" s="270"/>
      <c r="J17" s="270"/>
      <c r="K17" s="270"/>
      <c r="L17" s="270"/>
      <c r="M17" s="63">
        <f t="shared" si="0"/>
        <v>0</v>
      </c>
      <c r="N17" s="97"/>
      <c r="O17" s="28">
        <f>'D2-FinPerf'!I16</f>
        <v>0</v>
      </c>
      <c r="P17" s="27">
        <f>'D2-FinPerf'!J16</f>
        <v>0</v>
      </c>
      <c r="Q17" s="105">
        <f>'D2-FinPerf'!K16</f>
        <v>0</v>
      </c>
    </row>
    <row r="18" spans="1:17" ht="12.75" customHeight="1" x14ac:dyDescent="0.25">
      <c r="A18" s="361" t="s">
        <v>131</v>
      </c>
      <c r="B18" s="272"/>
      <c r="C18" s="270"/>
      <c r="D18" s="270"/>
      <c r="E18" s="270"/>
      <c r="F18" s="270"/>
      <c r="G18" s="301"/>
      <c r="H18" s="270"/>
      <c r="I18" s="270"/>
      <c r="J18" s="270"/>
      <c r="K18" s="270"/>
      <c r="L18" s="270"/>
      <c r="M18" s="63">
        <f t="shared" si="0"/>
        <v>0</v>
      </c>
      <c r="N18" s="97"/>
      <c r="O18" s="28">
        <f>'D2-FinPerf'!I17</f>
        <v>0</v>
      </c>
      <c r="P18" s="27">
        <f>'D2-FinPerf'!J17</f>
        <v>0</v>
      </c>
      <c r="Q18" s="105">
        <f>'D2-FinPerf'!K17</f>
        <v>0</v>
      </c>
    </row>
    <row r="19" spans="1:17" ht="12.75" customHeight="1" x14ac:dyDescent="0.25">
      <c r="A19" s="361" t="s">
        <v>940</v>
      </c>
      <c r="B19" s="272"/>
      <c r="C19" s="270"/>
      <c r="D19" s="270"/>
      <c r="E19" s="270"/>
      <c r="F19" s="270"/>
      <c r="G19" s="301"/>
      <c r="H19" s="270"/>
      <c r="I19" s="270"/>
      <c r="J19" s="270"/>
      <c r="K19" s="270"/>
      <c r="L19" s="270"/>
      <c r="M19" s="63">
        <f t="shared" si="0"/>
        <v>0</v>
      </c>
      <c r="N19" s="97">
        <f>SUM(B19:M19)</f>
        <v>0</v>
      </c>
      <c r="O19" s="28">
        <f>'D2-FinPerf'!I18</f>
        <v>0</v>
      </c>
      <c r="P19" s="27">
        <f>'D2-FinPerf'!J18</f>
        <v>0</v>
      </c>
      <c r="Q19" s="105">
        <f>'D2-FinPerf'!K18</f>
        <v>0</v>
      </c>
    </row>
    <row r="20" spans="1:17" ht="12.75" customHeight="1" x14ac:dyDescent="0.25">
      <c r="A20" s="361" t="s">
        <v>27</v>
      </c>
      <c r="B20" s="272">
        <v>655034</v>
      </c>
      <c r="C20" s="270">
        <v>655034</v>
      </c>
      <c r="D20" s="270">
        <v>655034</v>
      </c>
      <c r="E20" s="270">
        <v>655034</v>
      </c>
      <c r="F20" s="270">
        <v>655034</v>
      </c>
      <c r="G20" s="301">
        <v>655034</v>
      </c>
      <c r="H20" s="270">
        <v>655034</v>
      </c>
      <c r="I20" s="270">
        <v>655034</v>
      </c>
      <c r="J20" s="270">
        <v>655034</v>
      </c>
      <c r="K20" s="270">
        <v>655034</v>
      </c>
      <c r="L20" s="270">
        <v>655034</v>
      </c>
      <c r="M20" s="63">
        <f t="shared" si="0"/>
        <v>655044.5</v>
      </c>
      <c r="N20" s="97">
        <f>SUM(B20:M20)</f>
        <v>7860418.5</v>
      </c>
      <c r="O20" s="28">
        <f>'D2-FinPerf'!I19</f>
        <v>7860418.5</v>
      </c>
      <c r="P20" s="27">
        <f>'D2-FinPerf'!J19</f>
        <v>8332043.6100000003</v>
      </c>
      <c r="Q20" s="105">
        <f>'D2-FinPerf'!K19</f>
        <v>8831966.2300000004</v>
      </c>
    </row>
    <row r="21" spans="1:17" ht="12.75" customHeight="1" x14ac:dyDescent="0.25">
      <c r="A21" s="361" t="s">
        <v>354</v>
      </c>
      <c r="B21" s="272"/>
      <c r="C21" s="270"/>
      <c r="D21" s="270"/>
      <c r="E21" s="270"/>
      <c r="F21" s="270"/>
      <c r="G21" s="301"/>
      <c r="H21" s="270"/>
      <c r="I21" s="270"/>
      <c r="J21" s="270"/>
      <c r="K21" s="270"/>
      <c r="L21" s="270"/>
      <c r="M21" s="63">
        <f t="shared" si="0"/>
        <v>0</v>
      </c>
      <c r="N21" s="97">
        <f>SUM(B21:M21)</f>
        <v>0</v>
      </c>
      <c r="O21" s="28">
        <f>'D2-FinPerf'!I20</f>
        <v>0</v>
      </c>
      <c r="P21" s="27">
        <f>'D2-FinPerf'!J20</f>
        <v>0</v>
      </c>
      <c r="Q21" s="105">
        <f>'D2-FinPerf'!K20</f>
        <v>0</v>
      </c>
    </row>
    <row r="22" spans="1:17" ht="12.75" customHeight="1" x14ac:dyDescent="0.25">
      <c r="A22" s="59" t="s">
        <v>557</v>
      </c>
      <c r="B22" s="45">
        <f t="shared" ref="B22:M22" si="1">SUM(B6:B21)</f>
        <v>655034</v>
      </c>
      <c r="C22" s="44">
        <f t="shared" si="1"/>
        <v>655034</v>
      </c>
      <c r="D22" s="44">
        <f t="shared" si="1"/>
        <v>655034</v>
      </c>
      <c r="E22" s="44">
        <f t="shared" si="1"/>
        <v>655034</v>
      </c>
      <c r="F22" s="44">
        <f t="shared" si="1"/>
        <v>655034</v>
      </c>
      <c r="G22" s="150">
        <f t="shared" si="1"/>
        <v>655034</v>
      </c>
      <c r="H22" s="44">
        <f t="shared" si="1"/>
        <v>655034</v>
      </c>
      <c r="I22" s="44">
        <f t="shared" si="1"/>
        <v>655034</v>
      </c>
      <c r="J22" s="44">
        <f t="shared" si="1"/>
        <v>655034</v>
      </c>
      <c r="K22" s="44">
        <f t="shared" si="1"/>
        <v>655034</v>
      </c>
      <c r="L22" s="44">
        <f t="shared" si="1"/>
        <v>655034</v>
      </c>
      <c r="M22" s="150">
        <f t="shared" si="1"/>
        <v>655044.5</v>
      </c>
      <c r="N22" s="138">
        <f>SUM(N19:N21)</f>
        <v>7860418.5</v>
      </c>
      <c r="O22" s="45">
        <f>SUM(O6:O21)</f>
        <v>7860418.5</v>
      </c>
      <c r="P22" s="44">
        <f>SUM(P6:P21)</f>
        <v>8332043.6100000003</v>
      </c>
      <c r="Q22" s="106">
        <f>SUM(Q6:Q21)</f>
        <v>8831966.2300000004</v>
      </c>
    </row>
    <row r="23" spans="1:17" ht="5.0999999999999996" customHeight="1" x14ac:dyDescent="0.25">
      <c r="A23" s="55"/>
      <c r="B23" s="28"/>
      <c r="C23" s="27"/>
      <c r="D23" s="27"/>
      <c r="E23" s="27"/>
      <c r="F23" s="27"/>
      <c r="G23" s="63"/>
      <c r="H23" s="27"/>
      <c r="I23" s="27"/>
      <c r="J23" s="27"/>
      <c r="K23" s="27"/>
      <c r="L23" s="27"/>
      <c r="M23" s="63"/>
      <c r="N23" s="97"/>
      <c r="O23" s="28"/>
      <c r="P23" s="27"/>
      <c r="Q23" s="105"/>
    </row>
    <row r="24" spans="1:17" ht="12.75" customHeight="1" x14ac:dyDescent="0.25">
      <c r="A24" s="22" t="s">
        <v>54</v>
      </c>
      <c r="B24" s="28"/>
      <c r="C24" s="27"/>
      <c r="D24" s="27"/>
      <c r="E24" s="27"/>
      <c r="F24" s="27"/>
      <c r="G24" s="63"/>
      <c r="H24" s="27"/>
      <c r="I24" s="27"/>
      <c r="J24" s="27"/>
      <c r="K24" s="27"/>
      <c r="L24" s="27"/>
      <c r="M24" s="63"/>
      <c r="N24" s="97"/>
      <c r="O24" s="28"/>
      <c r="P24" s="27"/>
      <c r="Q24" s="105"/>
    </row>
    <row r="25" spans="1:17" ht="12.75" customHeight="1" x14ac:dyDescent="0.25">
      <c r="A25" s="24" t="s">
        <v>355</v>
      </c>
      <c r="B25" s="272">
        <v>386145</v>
      </c>
      <c r="C25" s="270">
        <v>386145</v>
      </c>
      <c r="D25" s="270">
        <v>386145</v>
      </c>
      <c r="E25" s="270">
        <v>386145</v>
      </c>
      <c r="F25" s="270">
        <v>386145</v>
      </c>
      <c r="G25" s="301">
        <v>386145</v>
      </c>
      <c r="H25" s="270">
        <v>386145</v>
      </c>
      <c r="I25" s="270">
        <v>386145</v>
      </c>
      <c r="J25" s="270">
        <v>386145</v>
      </c>
      <c r="K25" s="270">
        <v>386145</v>
      </c>
      <c r="L25" s="270">
        <v>386145</v>
      </c>
      <c r="M25" s="63">
        <f>O25-SUM(B25:L25)</f>
        <v>386155.79999999981</v>
      </c>
      <c r="N25" s="97">
        <f>SUM(B25:M25)</f>
        <v>4633750.8</v>
      </c>
      <c r="O25" s="28">
        <f>'D2-FinPerf'!I24</f>
        <v>4633750.8</v>
      </c>
      <c r="P25" s="27">
        <f>'D2-FinPerf'!J24</f>
        <v>4932480.95</v>
      </c>
      <c r="Q25" s="105">
        <f>'D2-FinPerf'!K24</f>
        <v>5254005.99</v>
      </c>
    </row>
    <row r="26" spans="1:17" ht="12.75" customHeight="1" x14ac:dyDescent="0.25">
      <c r="A26" s="24" t="s">
        <v>2</v>
      </c>
      <c r="B26" s="272">
        <v>52083.33</v>
      </c>
      <c r="C26" s="270">
        <v>52083.33</v>
      </c>
      <c r="D26" s="270">
        <v>52083</v>
      </c>
      <c r="E26" s="270">
        <v>52083</v>
      </c>
      <c r="F26" s="270">
        <v>52083</v>
      </c>
      <c r="G26" s="301">
        <v>52083</v>
      </c>
      <c r="H26" s="270">
        <v>52083</v>
      </c>
      <c r="I26" s="270">
        <v>52083</v>
      </c>
      <c r="J26" s="270">
        <v>52083</v>
      </c>
      <c r="K26" s="270">
        <v>52083</v>
      </c>
      <c r="L26" s="270">
        <v>52083</v>
      </c>
      <c r="M26" s="63">
        <f t="shared" ref="M26:M35" si="2">O26-SUM(B26:L26)</f>
        <v>52086.339999999967</v>
      </c>
      <c r="N26" s="97">
        <f t="shared" ref="N26:N35" si="3">SUM(B26:M26)</f>
        <v>625000</v>
      </c>
      <c r="O26" s="28">
        <f>'D2-FinPerf'!I25</f>
        <v>625000</v>
      </c>
      <c r="P26" s="27">
        <f>'D2-FinPerf'!J25</f>
        <v>658250</v>
      </c>
      <c r="Q26" s="105">
        <f>'D2-FinPerf'!K25</f>
        <v>691162</v>
      </c>
    </row>
    <row r="27" spans="1:17" ht="12.75" customHeight="1" x14ac:dyDescent="0.25">
      <c r="A27" s="24" t="s">
        <v>154</v>
      </c>
      <c r="B27" s="272"/>
      <c r="C27" s="270"/>
      <c r="D27" s="270"/>
      <c r="E27" s="270"/>
      <c r="F27" s="270"/>
      <c r="G27" s="301"/>
      <c r="H27" s="270"/>
      <c r="I27" s="270"/>
      <c r="J27" s="270"/>
      <c r="K27" s="270"/>
      <c r="L27" s="270"/>
      <c r="M27" s="63">
        <f t="shared" si="2"/>
        <v>0</v>
      </c>
      <c r="N27" s="97">
        <f t="shared" si="3"/>
        <v>0</v>
      </c>
      <c r="O27" s="28">
        <f>'D2-FinPerf'!I26</f>
        <v>0</v>
      </c>
      <c r="P27" s="27">
        <f>'D2-FinPerf'!J26</f>
        <v>0</v>
      </c>
      <c r="Q27" s="105">
        <f>'D2-FinPerf'!K26</f>
        <v>0</v>
      </c>
    </row>
    <row r="28" spans="1:17" ht="12.75" customHeight="1" x14ac:dyDescent="0.25">
      <c r="A28" s="24" t="s">
        <v>201</v>
      </c>
      <c r="B28" s="272">
        <v>6257</v>
      </c>
      <c r="C28" s="270">
        <v>6257</v>
      </c>
      <c r="D28" s="270">
        <v>6257</v>
      </c>
      <c r="E28" s="270">
        <v>6257</v>
      </c>
      <c r="F28" s="270">
        <v>6257</v>
      </c>
      <c r="G28" s="301">
        <v>6257</v>
      </c>
      <c r="H28" s="270">
        <v>6257</v>
      </c>
      <c r="I28" s="270">
        <v>6257</v>
      </c>
      <c r="J28" s="270">
        <v>6257</v>
      </c>
      <c r="K28" s="270">
        <v>6257</v>
      </c>
      <c r="L28" s="270">
        <v>6257</v>
      </c>
      <c r="M28" s="63">
        <f t="shared" si="2"/>
        <v>6259.6499999999942</v>
      </c>
      <c r="N28" s="97">
        <f t="shared" si="3"/>
        <v>75086.649999999994</v>
      </c>
      <c r="O28" s="28">
        <f>'D2-FinPerf'!I27</f>
        <v>75086.649999999994</v>
      </c>
      <c r="P28" s="27">
        <f>'D2-FinPerf'!J27</f>
        <v>78090.11</v>
      </c>
      <c r="Q28" s="105">
        <f>'D2-FinPerf'!K27</f>
        <v>81213.710000000006</v>
      </c>
    </row>
    <row r="29" spans="1:17" ht="12.75" customHeight="1" x14ac:dyDescent="0.25">
      <c r="A29" s="24" t="s">
        <v>26</v>
      </c>
      <c r="B29" s="272"/>
      <c r="C29" s="270" t="s">
        <v>1068</v>
      </c>
      <c r="D29" s="270" t="s">
        <v>1068</v>
      </c>
      <c r="E29" s="270" t="s">
        <v>1068</v>
      </c>
      <c r="F29" s="270" t="s">
        <v>1068</v>
      </c>
      <c r="G29" s="301" t="s">
        <v>1068</v>
      </c>
      <c r="H29" s="270"/>
      <c r="I29" s="270"/>
      <c r="J29" s="270"/>
      <c r="K29" s="270"/>
      <c r="L29" s="270"/>
      <c r="M29" s="63">
        <f t="shared" si="2"/>
        <v>0</v>
      </c>
      <c r="N29" s="97">
        <f t="shared" si="3"/>
        <v>0</v>
      </c>
      <c r="O29" s="28">
        <f>'D2-FinPerf'!I28</f>
        <v>0</v>
      </c>
      <c r="P29" s="27">
        <f>'D2-FinPerf'!J28</f>
        <v>0</v>
      </c>
      <c r="Q29" s="105">
        <f>'D2-FinPerf'!K28</f>
        <v>0</v>
      </c>
    </row>
    <row r="30" spans="1:17" ht="12.75" customHeight="1" x14ac:dyDescent="0.25">
      <c r="A30" s="24" t="s">
        <v>589</v>
      </c>
      <c r="B30" s="272"/>
      <c r="C30" s="270"/>
      <c r="D30" s="270"/>
      <c r="E30" s="270"/>
      <c r="F30" s="270"/>
      <c r="G30" s="301"/>
      <c r="H30" s="270"/>
      <c r="I30" s="270"/>
      <c r="J30" s="270"/>
      <c r="K30" s="270"/>
      <c r="L30" s="270"/>
      <c r="M30" s="63">
        <f t="shared" si="2"/>
        <v>0</v>
      </c>
      <c r="N30" s="97">
        <f t="shared" si="3"/>
        <v>0</v>
      </c>
      <c r="O30" s="28">
        <f>'D2-FinPerf'!I29</f>
        <v>0</v>
      </c>
      <c r="P30" s="27">
        <f>'D2-FinPerf'!J29</f>
        <v>0</v>
      </c>
      <c r="Q30" s="105">
        <f>'D2-FinPerf'!K29</f>
        <v>0</v>
      </c>
    </row>
    <row r="31" spans="1:17" ht="12.75" customHeight="1" x14ac:dyDescent="0.25">
      <c r="A31" s="24" t="s">
        <v>403</v>
      </c>
      <c r="B31" s="272"/>
      <c r="C31" s="270"/>
      <c r="D31" s="270"/>
      <c r="E31" s="270"/>
      <c r="F31" s="270"/>
      <c r="G31" s="301"/>
      <c r="H31" s="270"/>
      <c r="I31" s="270"/>
      <c r="J31" s="270"/>
      <c r="K31" s="270"/>
      <c r="L31" s="270"/>
      <c r="M31" s="63">
        <f t="shared" si="2"/>
        <v>0</v>
      </c>
      <c r="N31" s="97">
        <f t="shared" si="3"/>
        <v>0</v>
      </c>
      <c r="O31" s="28">
        <f>'D2-FinPerf'!I30</f>
        <v>0</v>
      </c>
      <c r="P31" s="27">
        <f>'D2-FinPerf'!J30</f>
        <v>0</v>
      </c>
      <c r="Q31" s="105">
        <f>'D2-FinPerf'!K30</f>
        <v>0</v>
      </c>
    </row>
    <row r="32" spans="1:17" ht="12.75" customHeight="1" x14ac:dyDescent="0.25">
      <c r="A32" s="24" t="s">
        <v>357</v>
      </c>
      <c r="B32" s="272"/>
      <c r="C32" s="270"/>
      <c r="D32" s="270"/>
      <c r="E32" s="270"/>
      <c r="F32" s="270"/>
      <c r="G32" s="301"/>
      <c r="H32" s="270"/>
      <c r="I32" s="270"/>
      <c r="J32" s="270"/>
      <c r="K32" s="270"/>
      <c r="L32" s="270"/>
      <c r="M32" s="63">
        <f t="shared" si="2"/>
        <v>502731.21</v>
      </c>
      <c r="N32" s="97">
        <f t="shared" si="3"/>
        <v>502731.21</v>
      </c>
      <c r="O32" s="28">
        <f>'D2-FinPerf'!I31</f>
        <v>502731.21</v>
      </c>
      <c r="P32" s="27">
        <f>'D2-FinPerf'!J31</f>
        <v>527467.63</v>
      </c>
      <c r="Q32" s="105">
        <f>'D2-FinPerf'!K31</f>
        <v>559115.68999999994</v>
      </c>
    </row>
    <row r="33" spans="1:17" ht="12.75" customHeight="1" x14ac:dyDescent="0.25">
      <c r="A33" s="361" t="s">
        <v>940</v>
      </c>
      <c r="B33" s="272"/>
      <c r="C33" s="270"/>
      <c r="D33" s="270"/>
      <c r="E33" s="270"/>
      <c r="F33" s="270"/>
      <c r="G33" s="301"/>
      <c r="H33" s="270"/>
      <c r="I33" s="270"/>
      <c r="J33" s="270"/>
      <c r="K33" s="270"/>
      <c r="L33" s="270"/>
      <c r="M33" s="63">
        <f t="shared" si="2"/>
        <v>0</v>
      </c>
      <c r="N33" s="97">
        <f t="shared" si="3"/>
        <v>0</v>
      </c>
      <c r="O33" s="28">
        <f>'D2-FinPerf'!I32</f>
        <v>0</v>
      </c>
      <c r="P33" s="27">
        <f>'D2-FinPerf'!J32</f>
        <v>0</v>
      </c>
      <c r="Q33" s="105">
        <f>'D2-FinPerf'!K32</f>
        <v>0</v>
      </c>
    </row>
    <row r="34" spans="1:17" ht="12.75" customHeight="1" x14ac:dyDescent="0.25">
      <c r="A34" s="24" t="s">
        <v>6</v>
      </c>
      <c r="B34" s="272">
        <v>176956</v>
      </c>
      <c r="C34" s="270">
        <v>176956</v>
      </c>
      <c r="D34" s="270">
        <v>176956</v>
      </c>
      <c r="E34" s="270">
        <v>176956</v>
      </c>
      <c r="F34" s="270">
        <v>176956</v>
      </c>
      <c r="G34" s="301">
        <v>176956</v>
      </c>
      <c r="H34" s="270">
        <v>176956</v>
      </c>
      <c r="I34" s="270">
        <v>176956</v>
      </c>
      <c r="J34" s="270">
        <v>176956</v>
      </c>
      <c r="K34" s="270">
        <v>176956</v>
      </c>
      <c r="L34" s="270">
        <v>176956</v>
      </c>
      <c r="M34" s="63">
        <f t="shared" si="2"/>
        <v>-157726.15999999992</v>
      </c>
      <c r="N34" s="97">
        <f t="shared" si="3"/>
        <v>1788789.84</v>
      </c>
      <c r="O34" s="28">
        <f>'D2-FinPerf'!I33</f>
        <v>1788789.84</v>
      </c>
      <c r="P34" s="27">
        <f>'D2-FinPerf'!J33</f>
        <v>1900755.72</v>
      </c>
      <c r="Q34" s="105">
        <f>'D2-FinPerf'!K33</f>
        <v>2011469.64</v>
      </c>
    </row>
    <row r="35" spans="1:17" ht="12.75" customHeight="1" x14ac:dyDescent="0.25">
      <c r="A35" s="24" t="s">
        <v>127</v>
      </c>
      <c r="B35" s="272"/>
      <c r="C35" s="270"/>
      <c r="D35" s="270"/>
      <c r="E35" s="270"/>
      <c r="F35" s="270"/>
      <c r="G35" s="301"/>
      <c r="H35" s="270"/>
      <c r="I35" s="270"/>
      <c r="J35" s="270"/>
      <c r="K35" s="270"/>
      <c r="L35" s="270"/>
      <c r="M35" s="63">
        <f t="shared" si="2"/>
        <v>0</v>
      </c>
      <c r="N35" s="97">
        <f t="shared" si="3"/>
        <v>0</v>
      </c>
      <c r="O35" s="28">
        <f>'D2-FinPerf'!I34</f>
        <v>0</v>
      </c>
      <c r="P35" s="27">
        <f>'D2-FinPerf'!J34</f>
        <v>0</v>
      </c>
      <c r="Q35" s="105">
        <f>'D2-FinPerf'!K34</f>
        <v>0</v>
      </c>
    </row>
    <row r="36" spans="1:17" ht="12.75" customHeight="1" x14ac:dyDescent="0.25">
      <c r="A36" s="59" t="s">
        <v>55</v>
      </c>
      <c r="B36" s="45">
        <f t="shared" ref="B36:Q36" si="4">SUM(B25:B35)</f>
        <v>621441.33000000007</v>
      </c>
      <c r="C36" s="44">
        <f t="shared" si="4"/>
        <v>621441.33000000007</v>
      </c>
      <c r="D36" s="44">
        <f t="shared" si="4"/>
        <v>621441</v>
      </c>
      <c r="E36" s="44">
        <f t="shared" si="4"/>
        <v>621441</v>
      </c>
      <c r="F36" s="44">
        <f t="shared" si="4"/>
        <v>621441</v>
      </c>
      <c r="G36" s="150">
        <f t="shared" si="4"/>
        <v>621441</v>
      </c>
      <c r="H36" s="44">
        <f t="shared" si="4"/>
        <v>621441</v>
      </c>
      <c r="I36" s="44">
        <f t="shared" si="4"/>
        <v>621441</v>
      </c>
      <c r="J36" s="44">
        <f t="shared" si="4"/>
        <v>621441</v>
      </c>
      <c r="K36" s="44">
        <f t="shared" si="4"/>
        <v>621441</v>
      </c>
      <c r="L36" s="44">
        <f t="shared" si="4"/>
        <v>621441</v>
      </c>
      <c r="M36" s="150">
        <f t="shared" si="4"/>
        <v>789506.83999999985</v>
      </c>
      <c r="N36" s="138">
        <f t="shared" si="4"/>
        <v>7625358.5</v>
      </c>
      <c r="O36" s="45">
        <f t="shared" si="4"/>
        <v>7625358.5</v>
      </c>
      <c r="P36" s="44">
        <f t="shared" si="4"/>
        <v>8097044.4100000001</v>
      </c>
      <c r="Q36" s="106">
        <f t="shared" si="4"/>
        <v>8596967.0300000012</v>
      </c>
    </row>
    <row r="37" spans="1:17" ht="5.0999999999999996" customHeight="1" x14ac:dyDescent="0.25">
      <c r="A37" s="25"/>
      <c r="B37" s="28"/>
      <c r="C37" s="27"/>
      <c r="D37" s="27"/>
      <c r="E37" s="27"/>
      <c r="F37" s="27"/>
      <c r="G37" s="63"/>
      <c r="H37" s="27"/>
      <c r="I37" s="27"/>
      <c r="J37" s="27"/>
      <c r="K37" s="27"/>
      <c r="L37" s="27"/>
      <c r="M37" s="63"/>
      <c r="N37" s="97"/>
      <c r="O37" s="28"/>
      <c r="P37" s="27"/>
      <c r="Q37" s="105"/>
    </row>
    <row r="38" spans="1:17" ht="12.75" customHeight="1" x14ac:dyDescent="0.25">
      <c r="A38" s="22" t="s">
        <v>132</v>
      </c>
      <c r="B38" s="28"/>
      <c r="C38" s="27"/>
      <c r="D38" s="27"/>
      <c r="E38" s="27"/>
      <c r="F38" s="27"/>
      <c r="G38" s="63"/>
      <c r="H38" s="27"/>
      <c r="I38" s="27"/>
      <c r="J38" s="27"/>
      <c r="K38" s="27"/>
      <c r="L38" s="27"/>
      <c r="M38" s="63"/>
      <c r="N38" s="97"/>
      <c r="O38" s="28"/>
      <c r="P38" s="27"/>
      <c r="Q38" s="105"/>
    </row>
    <row r="39" spans="1:17" ht="12.75" customHeight="1" x14ac:dyDescent="0.25">
      <c r="A39" s="24" t="s">
        <v>233</v>
      </c>
      <c r="B39" s="272">
        <v>235000</v>
      </c>
      <c r="C39" s="270">
        <v>235000</v>
      </c>
      <c r="D39" s="270">
        <v>235000</v>
      </c>
      <c r="E39" s="270">
        <v>235000</v>
      </c>
      <c r="F39" s="270">
        <v>235000</v>
      </c>
      <c r="G39" s="301">
        <v>235000</v>
      </c>
      <c r="H39" s="270">
        <v>235000</v>
      </c>
      <c r="I39" s="270">
        <v>235000</v>
      </c>
      <c r="J39" s="270">
        <v>235000</v>
      </c>
      <c r="K39" s="270">
        <v>235000</v>
      </c>
      <c r="L39" s="270">
        <v>235000</v>
      </c>
      <c r="M39" s="63">
        <f>O39-SUM(B39:L39)</f>
        <v>-2350000</v>
      </c>
      <c r="N39" s="97"/>
      <c r="O39" s="552">
        <f>'D3-Capex'!I167</f>
        <v>235000</v>
      </c>
      <c r="P39" s="553">
        <f>'D3-Capex'!J167</f>
        <v>235000</v>
      </c>
      <c r="Q39" s="554">
        <f>'D3-Capex'!K167</f>
        <v>235000</v>
      </c>
    </row>
    <row r="40" spans="1:17" ht="12.75" customHeight="1" x14ac:dyDescent="0.25">
      <c r="A40" s="59" t="s">
        <v>152</v>
      </c>
      <c r="B40" s="45">
        <f>SUM(B39:B39)</f>
        <v>235000</v>
      </c>
      <c r="C40" s="44">
        <f t="shared" ref="C40:Q40" si="5">SUM(C39:C39)</f>
        <v>235000</v>
      </c>
      <c r="D40" s="44">
        <f t="shared" si="5"/>
        <v>235000</v>
      </c>
      <c r="E40" s="44">
        <f t="shared" si="5"/>
        <v>235000</v>
      </c>
      <c r="F40" s="44">
        <f t="shared" si="5"/>
        <v>235000</v>
      </c>
      <c r="G40" s="150">
        <f t="shared" si="5"/>
        <v>235000</v>
      </c>
      <c r="H40" s="44">
        <f t="shared" si="5"/>
        <v>235000</v>
      </c>
      <c r="I40" s="44">
        <f t="shared" si="5"/>
        <v>235000</v>
      </c>
      <c r="J40" s="44">
        <f t="shared" si="5"/>
        <v>235000</v>
      </c>
      <c r="K40" s="44">
        <f t="shared" si="5"/>
        <v>235000</v>
      </c>
      <c r="L40" s="44">
        <f t="shared" si="5"/>
        <v>235000</v>
      </c>
      <c r="M40" s="150">
        <f t="shared" si="5"/>
        <v>-2350000</v>
      </c>
      <c r="N40" s="138">
        <f t="shared" si="5"/>
        <v>0</v>
      </c>
      <c r="O40" s="45">
        <f t="shared" si="5"/>
        <v>235000</v>
      </c>
      <c r="P40" s="44">
        <f t="shared" si="5"/>
        <v>235000</v>
      </c>
      <c r="Q40" s="106">
        <f t="shared" si="5"/>
        <v>235000</v>
      </c>
    </row>
    <row r="41" spans="1:17" ht="5.0999999999999996" customHeight="1" x14ac:dyDescent="0.25">
      <c r="A41" s="25"/>
      <c r="B41" s="28"/>
      <c r="C41" s="27"/>
      <c r="D41" s="27"/>
      <c r="E41" s="27"/>
      <c r="F41" s="27"/>
      <c r="G41" s="63"/>
      <c r="H41" s="27"/>
      <c r="I41" s="27"/>
      <c r="J41" s="27"/>
      <c r="K41" s="27"/>
      <c r="L41" s="27"/>
      <c r="M41" s="63"/>
      <c r="N41" s="97"/>
      <c r="O41" s="28"/>
      <c r="P41" s="27"/>
      <c r="Q41" s="105"/>
    </row>
    <row r="42" spans="1:17" ht="12.75" customHeight="1" x14ac:dyDescent="0.25">
      <c r="A42" s="22" t="s">
        <v>308</v>
      </c>
      <c r="B42" s="28"/>
      <c r="C42" s="27"/>
      <c r="D42" s="27"/>
      <c r="E42" s="27"/>
      <c r="F42" s="27"/>
      <c r="G42" s="63"/>
      <c r="H42" s="27"/>
      <c r="I42" s="27"/>
      <c r="J42" s="27"/>
      <c r="K42" s="27"/>
      <c r="L42" s="27"/>
      <c r="M42" s="63"/>
      <c r="N42" s="97"/>
      <c r="O42" s="28"/>
      <c r="P42" s="27"/>
      <c r="Q42" s="105"/>
    </row>
    <row r="43" spans="1:17" ht="12.75" customHeight="1" x14ac:dyDescent="0.25">
      <c r="A43" s="54" t="s">
        <v>229</v>
      </c>
      <c r="B43" s="272"/>
      <c r="C43" s="270"/>
      <c r="D43" s="270"/>
      <c r="E43" s="270"/>
      <c r="F43" s="270"/>
      <c r="G43" s="270"/>
      <c r="H43" s="270"/>
      <c r="I43" s="270"/>
      <c r="J43" s="270"/>
      <c r="K43" s="270"/>
      <c r="L43" s="270"/>
      <c r="M43" s="557">
        <f t="shared" ref="M43:M48" si="6">O43-SUM(B43:L43)</f>
        <v>7860418.5</v>
      </c>
      <c r="N43" s="550"/>
      <c r="O43" s="278">
        <f>'D5-CFlow'!I6+'D5-CFlow'!I7+'D5-CFlow'!I8</f>
        <v>7860418.5</v>
      </c>
      <c r="P43" s="276">
        <f>'D5-CFlow'!J6+'D5-CFlow'!J7+'D5-CFlow'!J8</f>
        <v>8332043.6100000003</v>
      </c>
      <c r="Q43" s="277">
        <f>'D5-CFlow'!K6+'D5-CFlow'!K7+'D5-CFlow'!K8</f>
        <v>8831966.2300000004</v>
      </c>
    </row>
    <row r="44" spans="1:17" ht="12.75" customHeight="1" x14ac:dyDescent="0.25">
      <c r="A44" s="54" t="s">
        <v>228</v>
      </c>
      <c r="B44" s="272">
        <v>1965104.62</v>
      </c>
      <c r="C44" s="270"/>
      <c r="D44" s="270"/>
      <c r="E44" s="270">
        <v>1965104.62</v>
      </c>
      <c r="F44" s="270"/>
      <c r="G44" s="270"/>
      <c r="H44" s="270">
        <v>1965104.62</v>
      </c>
      <c r="I44" s="270"/>
      <c r="J44" s="270"/>
      <c r="K44" s="270">
        <v>1965104.62</v>
      </c>
      <c r="L44" s="270"/>
      <c r="M44" s="557">
        <f t="shared" si="6"/>
        <v>-7860418.4800000004</v>
      </c>
      <c r="N44" s="550"/>
      <c r="O44" s="278">
        <f>'D5-CFlow'!I9+'D5-CFlow'!I10</f>
        <v>0</v>
      </c>
      <c r="P44" s="276">
        <f>'D5-CFlow'!J9+'D5-CFlow'!J10</f>
        <v>0</v>
      </c>
      <c r="Q44" s="277">
        <f>'D5-CFlow'!K9+'D5-CFlow'!K10</f>
        <v>0</v>
      </c>
    </row>
    <row r="45" spans="1:17" ht="12.75" customHeight="1" x14ac:dyDescent="0.25">
      <c r="A45" s="54" t="s">
        <v>372</v>
      </c>
      <c r="B45" s="272"/>
      <c r="C45" s="270"/>
      <c r="D45" s="270"/>
      <c r="E45" s="270"/>
      <c r="F45" s="270"/>
      <c r="G45" s="270"/>
      <c r="H45" s="270"/>
      <c r="I45" s="270"/>
      <c r="J45" s="270"/>
      <c r="K45" s="270"/>
      <c r="L45" s="270"/>
      <c r="M45" s="557">
        <f t="shared" si="6"/>
        <v>0</v>
      </c>
      <c r="N45" s="550"/>
      <c r="O45" s="278">
        <f>'D5-CFlow'!I11</f>
        <v>0</v>
      </c>
      <c r="P45" s="276">
        <f>'D5-CFlow'!J11</f>
        <v>0</v>
      </c>
      <c r="Q45" s="277">
        <f>'D5-CFlow'!K11</f>
        <v>0</v>
      </c>
    </row>
    <row r="46" spans="1:17" ht="12.75" customHeight="1" x14ac:dyDescent="0.25">
      <c r="A46" s="54" t="s">
        <v>473</v>
      </c>
      <c r="B46" s="272"/>
      <c r="C46" s="270"/>
      <c r="D46" s="270"/>
      <c r="E46" s="270"/>
      <c r="F46" s="270"/>
      <c r="G46" s="270"/>
      <c r="H46" s="270"/>
      <c r="I46" s="270"/>
      <c r="J46" s="270"/>
      <c r="K46" s="270"/>
      <c r="L46" s="270"/>
      <c r="M46" s="557">
        <f t="shared" si="6"/>
        <v>-7625418.5</v>
      </c>
      <c r="N46" s="550"/>
      <c r="O46" s="278">
        <f>'D5-CFlow'!I14</f>
        <v>-7625418.5</v>
      </c>
      <c r="P46" s="276">
        <f>'D5-CFlow'!J14</f>
        <v>-8097043.6100000003</v>
      </c>
      <c r="Q46" s="277">
        <f>'D5-CFlow'!K14</f>
        <v>-8596966.2300000004</v>
      </c>
    </row>
    <row r="47" spans="1:17" ht="12.75" customHeight="1" x14ac:dyDescent="0.25">
      <c r="A47" s="54" t="s">
        <v>26</v>
      </c>
      <c r="B47" s="272"/>
      <c r="C47" s="270"/>
      <c r="D47" s="270"/>
      <c r="E47" s="270"/>
      <c r="F47" s="270"/>
      <c r="G47" s="270"/>
      <c r="H47" s="270"/>
      <c r="I47" s="270"/>
      <c r="J47" s="270"/>
      <c r="K47" s="270"/>
      <c r="L47" s="270"/>
      <c r="M47" s="557">
        <f t="shared" si="6"/>
        <v>0</v>
      </c>
      <c r="N47" s="550"/>
      <c r="O47" s="278">
        <f>'D5-CFlow'!I15</f>
        <v>0</v>
      </c>
      <c r="P47" s="276">
        <f>'D5-CFlow'!J15</f>
        <v>0</v>
      </c>
      <c r="Q47" s="277">
        <f>'D5-CFlow'!K15</f>
        <v>0</v>
      </c>
    </row>
    <row r="48" spans="1:17" ht="12.75" customHeight="1" x14ac:dyDescent="0.25">
      <c r="A48" s="54" t="s">
        <v>375</v>
      </c>
      <c r="B48" s="275"/>
      <c r="C48" s="273"/>
      <c r="D48" s="273"/>
      <c r="E48" s="273"/>
      <c r="F48" s="273"/>
      <c r="G48" s="273"/>
      <c r="H48" s="273"/>
      <c r="I48" s="273"/>
      <c r="J48" s="273"/>
      <c r="K48" s="273"/>
      <c r="L48" s="273"/>
      <c r="M48" s="557">
        <f t="shared" si="6"/>
        <v>0</v>
      </c>
      <c r="N48" s="550"/>
      <c r="O48" s="555">
        <f>'D5-CFlow'!I16</f>
        <v>0</v>
      </c>
      <c r="P48" s="558">
        <f>'D5-CFlow'!J16</f>
        <v>0</v>
      </c>
      <c r="Q48" s="556">
        <f>'D5-CFlow'!K16</f>
        <v>0</v>
      </c>
    </row>
    <row r="49" spans="1:17" ht="12.75" customHeight="1" x14ac:dyDescent="0.25">
      <c r="A49" s="59" t="s">
        <v>378</v>
      </c>
      <c r="B49" s="45">
        <f>SUM(B43:B48)</f>
        <v>1965104.62</v>
      </c>
      <c r="C49" s="44">
        <f t="shared" ref="C49:M49" si="7">SUM(C43:C48)</f>
        <v>0</v>
      </c>
      <c r="D49" s="44">
        <f t="shared" si="7"/>
        <v>0</v>
      </c>
      <c r="E49" s="44">
        <f t="shared" si="7"/>
        <v>1965104.62</v>
      </c>
      <c r="F49" s="44">
        <f t="shared" si="7"/>
        <v>0</v>
      </c>
      <c r="G49" s="150">
        <f t="shared" si="7"/>
        <v>0</v>
      </c>
      <c r="H49" s="44">
        <f t="shared" si="7"/>
        <v>1965104.62</v>
      </c>
      <c r="I49" s="44">
        <f t="shared" si="7"/>
        <v>0</v>
      </c>
      <c r="J49" s="44">
        <f t="shared" si="7"/>
        <v>0</v>
      </c>
      <c r="K49" s="44">
        <f t="shared" si="7"/>
        <v>1965104.62</v>
      </c>
      <c r="L49" s="44">
        <f t="shared" si="7"/>
        <v>0</v>
      </c>
      <c r="M49" s="150">
        <f t="shared" si="7"/>
        <v>-7625418.4800000004</v>
      </c>
      <c r="N49" s="138">
        <f>SUM(B49:M49)</f>
        <v>235000</v>
      </c>
      <c r="O49" s="45">
        <f>SUM(O43:O48)</f>
        <v>235000</v>
      </c>
      <c r="P49" s="44">
        <f>SUM(P43:P48)</f>
        <v>235000</v>
      </c>
      <c r="Q49" s="106">
        <f>SUM(Q43:Q48)</f>
        <v>235000</v>
      </c>
    </row>
    <row r="50" spans="1:17" ht="5.0999999999999996" customHeight="1" x14ac:dyDescent="0.25">
      <c r="A50" s="55"/>
      <c r="B50" s="31"/>
      <c r="C50" s="30"/>
      <c r="D50" s="30"/>
      <c r="E50" s="30"/>
      <c r="F50" s="30"/>
      <c r="G50" s="65"/>
      <c r="H50" s="30"/>
      <c r="I50" s="30"/>
      <c r="J50" s="30"/>
      <c r="K50" s="30"/>
      <c r="L50" s="30"/>
      <c r="M50" s="65"/>
      <c r="N50" s="64"/>
      <c r="O50" s="31"/>
      <c r="P50" s="30"/>
      <c r="Q50" s="124"/>
    </row>
    <row r="51" spans="1:17" ht="12.75" customHeight="1" x14ac:dyDescent="0.25">
      <c r="A51" s="24" t="s">
        <v>376</v>
      </c>
      <c r="B51" s="272"/>
      <c r="C51" s="270"/>
      <c r="D51" s="270"/>
      <c r="E51" s="270"/>
      <c r="F51" s="270"/>
      <c r="G51" s="301"/>
      <c r="H51" s="270"/>
      <c r="I51" s="270"/>
      <c r="J51" s="270"/>
      <c r="K51" s="270"/>
      <c r="L51" s="270"/>
      <c r="M51" s="63">
        <f>O51-SUM(B51:L51)</f>
        <v>0</v>
      </c>
      <c r="N51" s="97"/>
      <c r="O51" s="28">
        <f>'D5-CFlow'!I23+'D5-CFlow'!I24</f>
        <v>0</v>
      </c>
      <c r="P51" s="27">
        <f>'D5-CFlow'!J23+'D5-CFlow'!J24</f>
        <v>0</v>
      </c>
      <c r="Q51" s="105">
        <f>'D5-CFlow'!K23+'D5-CFlow'!K24</f>
        <v>0</v>
      </c>
    </row>
    <row r="52" spans="1:17" ht="12.75" customHeight="1" x14ac:dyDescent="0.25">
      <c r="A52" s="24" t="s">
        <v>377</v>
      </c>
      <c r="B52" s="272"/>
      <c r="C52" s="270"/>
      <c r="D52" s="270"/>
      <c r="E52" s="270"/>
      <c r="F52" s="270"/>
      <c r="G52" s="301"/>
      <c r="H52" s="270"/>
      <c r="I52" s="270"/>
      <c r="J52" s="270"/>
      <c r="K52" s="270"/>
      <c r="L52" s="270"/>
      <c r="M52" s="63">
        <f>O52-SUM(B52:L52)</f>
        <v>0</v>
      </c>
      <c r="N52" s="97"/>
      <c r="O52" s="28">
        <f>'D5-CFlow'!I25</f>
        <v>0</v>
      </c>
      <c r="P52" s="27">
        <f>'D5-CFlow'!J25</f>
        <v>0</v>
      </c>
      <c r="Q52" s="105">
        <f>'D5-CFlow'!K25</f>
        <v>0</v>
      </c>
    </row>
    <row r="53" spans="1:17" ht="12.75" customHeight="1" x14ac:dyDescent="0.25">
      <c r="A53" s="24" t="s">
        <v>405</v>
      </c>
      <c r="B53" s="272"/>
      <c r="C53" s="270"/>
      <c r="D53" s="270"/>
      <c r="E53" s="270"/>
      <c r="F53" s="270"/>
      <c r="G53" s="301"/>
      <c r="H53" s="270"/>
      <c r="I53" s="270"/>
      <c r="J53" s="270"/>
      <c r="K53" s="270"/>
      <c r="L53" s="270"/>
      <c r="M53" s="63">
        <f>O53-SUM(B53:L53)</f>
        <v>0</v>
      </c>
      <c r="N53" s="97"/>
      <c r="O53" s="28">
        <f>'D5-CFlow'!I22</f>
        <v>0</v>
      </c>
      <c r="P53" s="27">
        <f>'D5-CFlow'!J22</f>
        <v>0</v>
      </c>
      <c r="Q53" s="105">
        <f>'D5-CFlow'!K22</f>
        <v>0</v>
      </c>
    </row>
    <row r="54" spans="1:17" ht="12.75" customHeight="1" x14ac:dyDescent="0.25">
      <c r="A54" s="24" t="s">
        <v>233</v>
      </c>
      <c r="B54" s="272"/>
      <c r="C54" s="270"/>
      <c r="D54" s="270"/>
      <c r="E54" s="270"/>
      <c r="F54" s="270"/>
      <c r="G54" s="301"/>
      <c r="H54" s="270"/>
      <c r="I54" s="270"/>
      <c r="J54" s="270"/>
      <c r="K54" s="270"/>
      <c r="L54" s="270"/>
      <c r="M54" s="63">
        <f>O54-SUM(B54:L54)</f>
        <v>235000</v>
      </c>
      <c r="N54" s="97"/>
      <c r="O54" s="28">
        <f>'D5-CFlow'!I27</f>
        <v>235000</v>
      </c>
      <c r="P54" s="27">
        <f>'D5-CFlow'!J27</f>
        <v>235000</v>
      </c>
      <c r="Q54" s="105">
        <f>'D5-CFlow'!K27</f>
        <v>235000</v>
      </c>
    </row>
    <row r="55" spans="1:17" ht="12.75" customHeight="1" x14ac:dyDescent="0.25">
      <c r="A55" s="59" t="s">
        <v>379</v>
      </c>
      <c r="B55" s="45">
        <f>SUM(B51:B54)</f>
        <v>0</v>
      </c>
      <c r="C55" s="44">
        <f t="shared" ref="C55:M55" si="8">SUM(C51:C54)</f>
        <v>0</v>
      </c>
      <c r="D55" s="44">
        <f t="shared" si="8"/>
        <v>0</v>
      </c>
      <c r="E55" s="44">
        <f t="shared" si="8"/>
        <v>0</v>
      </c>
      <c r="F55" s="44">
        <f t="shared" si="8"/>
        <v>0</v>
      </c>
      <c r="G55" s="150">
        <f t="shared" si="8"/>
        <v>0</v>
      </c>
      <c r="H55" s="44">
        <f t="shared" si="8"/>
        <v>0</v>
      </c>
      <c r="I55" s="44">
        <f t="shared" si="8"/>
        <v>0</v>
      </c>
      <c r="J55" s="44">
        <f t="shared" si="8"/>
        <v>0</v>
      </c>
      <c r="K55" s="44">
        <f t="shared" si="8"/>
        <v>0</v>
      </c>
      <c r="L55" s="44">
        <f t="shared" si="8"/>
        <v>0</v>
      </c>
      <c r="M55" s="150">
        <f t="shared" si="8"/>
        <v>235000</v>
      </c>
      <c r="N55" s="138">
        <f>SUM(B55:M55)</f>
        <v>235000</v>
      </c>
      <c r="O55" s="45">
        <f>SUM(O51:O54)</f>
        <v>235000</v>
      </c>
      <c r="P55" s="44">
        <f>SUM(P51:P54)</f>
        <v>235000</v>
      </c>
      <c r="Q55" s="106">
        <f>SUM(Q51:Q54)</f>
        <v>235000</v>
      </c>
    </row>
    <row r="56" spans="1:17" ht="5.0999999999999996" customHeight="1" x14ac:dyDescent="0.25">
      <c r="A56" s="55"/>
      <c r="B56" s="31"/>
      <c r="C56" s="30"/>
      <c r="D56" s="30"/>
      <c r="E56" s="30"/>
      <c r="F56" s="30"/>
      <c r="G56" s="65"/>
      <c r="H56" s="30"/>
      <c r="I56" s="30"/>
      <c r="J56" s="30"/>
      <c r="K56" s="30"/>
      <c r="L56" s="30"/>
      <c r="M56" s="65"/>
      <c r="N56" s="64"/>
      <c r="O56" s="31"/>
      <c r="P56" s="30"/>
      <c r="Q56" s="124"/>
    </row>
    <row r="57" spans="1:17" ht="12.75" customHeight="1" x14ac:dyDescent="0.25">
      <c r="A57" s="24" t="s">
        <v>474</v>
      </c>
      <c r="B57" s="272"/>
      <c r="C57" s="270"/>
      <c r="D57" s="270"/>
      <c r="E57" s="270"/>
      <c r="F57" s="270"/>
      <c r="G57" s="301"/>
      <c r="H57" s="270"/>
      <c r="I57" s="270"/>
      <c r="J57" s="270"/>
      <c r="K57" s="270"/>
      <c r="L57" s="270"/>
      <c r="M57" s="63">
        <f>O57-SUM(B57:L57)</f>
        <v>0</v>
      </c>
      <c r="N57" s="97"/>
      <c r="O57" s="28">
        <f>SUM('D5-CFlow'!I32:I33)</f>
        <v>0</v>
      </c>
      <c r="P57" s="27">
        <f>SUM('D5-CFlow'!J32:J33)</f>
        <v>0</v>
      </c>
      <c r="Q57" s="105">
        <f>SUM('D5-CFlow'!K32:K33)</f>
        <v>0</v>
      </c>
    </row>
    <row r="58" spans="1:17" ht="12.75" customHeight="1" x14ac:dyDescent="0.25">
      <c r="A58" s="24" t="s">
        <v>387</v>
      </c>
      <c r="B58" s="272"/>
      <c r="C58" s="270"/>
      <c r="D58" s="270"/>
      <c r="E58" s="270"/>
      <c r="F58" s="270"/>
      <c r="G58" s="301"/>
      <c r="H58" s="270"/>
      <c r="I58" s="270"/>
      <c r="J58" s="270"/>
      <c r="K58" s="270"/>
      <c r="L58" s="270"/>
      <c r="M58" s="63">
        <f>O58-SUM(B58:L58)</f>
        <v>0</v>
      </c>
      <c r="N58" s="97"/>
      <c r="O58" s="28">
        <f>'D5-CFlow'!I36</f>
        <v>0</v>
      </c>
      <c r="P58" s="27">
        <f>'D5-CFlow'!J36</f>
        <v>0</v>
      </c>
      <c r="Q58" s="105">
        <f>'D5-CFlow'!K36</f>
        <v>0</v>
      </c>
    </row>
    <row r="59" spans="1:17" ht="12.75" customHeight="1" x14ac:dyDescent="0.25">
      <c r="A59" s="24" t="s">
        <v>349</v>
      </c>
      <c r="B59" s="272"/>
      <c r="C59" s="270"/>
      <c r="D59" s="270"/>
      <c r="E59" s="270"/>
      <c r="F59" s="270"/>
      <c r="G59" s="301"/>
      <c r="H59" s="270"/>
      <c r="I59" s="270"/>
      <c r="J59" s="270"/>
      <c r="K59" s="270"/>
      <c r="L59" s="270"/>
      <c r="M59" s="63">
        <f>O59-SUM(B59:L59)</f>
        <v>0</v>
      </c>
      <c r="N59" s="97"/>
      <c r="O59" s="28">
        <f>'D5-CFlow'!I34</f>
        <v>0</v>
      </c>
      <c r="P59" s="27">
        <f>'D5-CFlow'!J34</f>
        <v>0</v>
      </c>
      <c r="Q59" s="105">
        <f>'D5-CFlow'!K34</f>
        <v>0</v>
      </c>
    </row>
    <row r="60" spans="1:17" ht="12.75" customHeight="1" x14ac:dyDescent="0.25">
      <c r="A60" s="59" t="s">
        <v>380</v>
      </c>
      <c r="B60" s="45">
        <f>SUM(B57:B59)</f>
        <v>0</v>
      </c>
      <c r="C60" s="44">
        <f t="shared" ref="C60:L60" si="9">SUM(C57:C59)</f>
        <v>0</v>
      </c>
      <c r="D60" s="44">
        <f t="shared" si="9"/>
        <v>0</v>
      </c>
      <c r="E60" s="44">
        <f t="shared" si="9"/>
        <v>0</v>
      </c>
      <c r="F60" s="44">
        <f t="shared" si="9"/>
        <v>0</v>
      </c>
      <c r="G60" s="150">
        <f t="shared" si="9"/>
        <v>0</v>
      </c>
      <c r="H60" s="44">
        <f t="shared" si="9"/>
        <v>0</v>
      </c>
      <c r="I60" s="44">
        <f t="shared" si="9"/>
        <v>0</v>
      </c>
      <c r="J60" s="44">
        <f t="shared" si="9"/>
        <v>0</v>
      </c>
      <c r="K60" s="44">
        <f t="shared" si="9"/>
        <v>0</v>
      </c>
      <c r="L60" s="44">
        <f t="shared" si="9"/>
        <v>0</v>
      </c>
      <c r="M60" s="150">
        <f>O60-SUM(B60:L60)</f>
        <v>0</v>
      </c>
      <c r="N60" s="138">
        <f>SUM(B60:M60)</f>
        <v>0</v>
      </c>
      <c r="O60" s="45">
        <f>SUM(O57:O59)</f>
        <v>0</v>
      </c>
      <c r="P60" s="44">
        <f>SUM(P57:P59)</f>
        <v>0</v>
      </c>
      <c r="Q60" s="106">
        <f>SUM(Q57:Q59)</f>
        <v>0</v>
      </c>
    </row>
    <row r="61" spans="1:17" ht="5.0999999999999996" customHeight="1" x14ac:dyDescent="0.25">
      <c r="A61" s="55"/>
      <c r="B61" s="31"/>
      <c r="C61" s="30"/>
      <c r="D61" s="30"/>
      <c r="E61" s="30"/>
      <c r="F61" s="30"/>
      <c r="G61" s="65"/>
      <c r="H61" s="30"/>
      <c r="I61" s="30"/>
      <c r="J61" s="30"/>
      <c r="K61" s="30"/>
      <c r="L61" s="30"/>
      <c r="M61" s="65"/>
      <c r="N61" s="64"/>
      <c r="O61" s="31"/>
      <c r="P61" s="30"/>
      <c r="Q61" s="124"/>
    </row>
    <row r="62" spans="1:17" ht="12.75" customHeight="1" x14ac:dyDescent="0.25">
      <c r="A62" s="32" t="s">
        <v>389</v>
      </c>
      <c r="B62" s="34">
        <f>B49+B55+B60</f>
        <v>1965104.62</v>
      </c>
      <c r="C62" s="33">
        <f t="shared" ref="C62:M62" si="10">C49+C55+C60</f>
        <v>0</v>
      </c>
      <c r="D62" s="33">
        <f t="shared" si="10"/>
        <v>0</v>
      </c>
      <c r="E62" s="33">
        <f t="shared" si="10"/>
        <v>1965104.62</v>
      </c>
      <c r="F62" s="33">
        <f t="shared" si="10"/>
        <v>0</v>
      </c>
      <c r="G62" s="51">
        <f t="shared" si="10"/>
        <v>0</v>
      </c>
      <c r="H62" s="33">
        <f t="shared" si="10"/>
        <v>1965104.62</v>
      </c>
      <c r="I62" s="33">
        <f t="shared" si="10"/>
        <v>0</v>
      </c>
      <c r="J62" s="33">
        <f t="shared" si="10"/>
        <v>0</v>
      </c>
      <c r="K62" s="33">
        <f t="shared" si="10"/>
        <v>1965104.62</v>
      </c>
      <c r="L62" s="33">
        <f t="shared" si="10"/>
        <v>0</v>
      </c>
      <c r="M62" s="51">
        <f t="shared" si="10"/>
        <v>-7390418.4800000004</v>
      </c>
      <c r="N62" s="66">
        <f>SUM(N49:N60)</f>
        <v>470000</v>
      </c>
      <c r="O62" s="34">
        <f>O49+O55+O60</f>
        <v>470000</v>
      </c>
      <c r="P62" s="33">
        <f>P49+P55+P60</f>
        <v>470000</v>
      </c>
      <c r="Q62" s="133">
        <f>Q49+Q55+Q60</f>
        <v>470000</v>
      </c>
    </row>
    <row r="63" spans="1:17" x14ac:dyDescent="0.25">
      <c r="A63" s="71"/>
      <c r="O63" s="229">
        <f>O62-'D5-CFlow'!I39</f>
        <v>0</v>
      </c>
      <c r="P63" s="229">
        <f>P62-'D5-CFlow'!J39</f>
        <v>0</v>
      </c>
      <c r="Q63" s="229">
        <f>Q62-'D5-CFlow'!K39</f>
        <v>0</v>
      </c>
    </row>
    <row r="64" spans="1:17" x14ac:dyDescent="0.25">
      <c r="A64" s="71"/>
      <c r="O64" s="107"/>
      <c r="P64" s="107"/>
      <c r="Q64" s="107"/>
    </row>
  </sheetData>
  <sheetProtection sheet="1" objects="1" scenarios="1"/>
  <mergeCells count="4">
    <mergeCell ref="A2:A3"/>
    <mergeCell ref="O3:O4"/>
    <mergeCell ref="P3:P4"/>
    <mergeCell ref="Q3:Q4"/>
  </mergeCells>
  <phoneticPr fontId="2" type="noConversion"/>
  <printOptions horizontalCentered="1"/>
  <pageMargins left="0.37" right="0.17" top="0.79" bottom="0.62" header="0.51181102362204722" footer="0.41"/>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7">
    <tabColor rgb="FFCCFFCC"/>
    <pageSetUpPr fitToPage="1"/>
  </sheetPr>
  <dimension ref="A1:W217"/>
  <sheetViews>
    <sheetView showGridLines="0" tabSelected="1" zoomScaleNormal="100" workbookViewId="0">
      <pane xSplit="2" ySplit="3" topLeftCell="C160" activePane="bottomRight" state="frozen"/>
      <selection activeCell="M29" sqref="M29"/>
      <selection pane="topRight" activeCell="M29" sqref="M29"/>
      <selection pane="bottomLeft" activeCell="M29" sqref="M29"/>
      <selection pane="bottomRight" activeCell="K154" sqref="K154"/>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MEB9a</f>
        <v>GREATER TZANEEN ECONOMIC DEVELOPMENT AGENCY - Supporting Table SD7a Capital expenditure on new assets by asset class</v>
      </c>
    </row>
    <row r="2" spans="1:12" ht="25.5" x14ac:dyDescent="0.25">
      <c r="A2" s="539" t="str">
        <f>desc</f>
        <v>Description</v>
      </c>
      <c r="B2" s="540"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2018/19</v>
      </c>
      <c r="J3" s="398" t="str">
        <f>Head10</f>
        <v>Budget Year +1 2019/20</v>
      </c>
      <c r="K3" s="400" t="str">
        <f>Head11</f>
        <v>Budget Year +2 2020/21</v>
      </c>
    </row>
    <row r="4" spans="1:12" ht="12.75" customHeight="1" x14ac:dyDescent="0.25">
      <c r="A4" s="22" t="s">
        <v>895</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61968</v>
      </c>
      <c r="D152" s="27">
        <f t="shared" si="24"/>
        <v>2000</v>
      </c>
      <c r="E152" s="382">
        <f t="shared" si="24"/>
        <v>2000</v>
      </c>
      <c r="F152" s="383">
        <f t="shared" si="24"/>
        <v>235000</v>
      </c>
      <c r="G152" s="27">
        <f t="shared" si="24"/>
        <v>0</v>
      </c>
      <c r="H152" s="26">
        <f t="shared" si="24"/>
        <v>235000</v>
      </c>
      <c r="I152" s="383">
        <f t="shared" si="24"/>
        <v>235000</v>
      </c>
      <c r="J152" s="27">
        <f t="shared" si="24"/>
        <v>235000</v>
      </c>
      <c r="K152" s="382">
        <f t="shared" si="24"/>
        <v>235000</v>
      </c>
    </row>
    <row r="153" spans="1:11" ht="13.15" customHeight="1" x14ac:dyDescent="0.25">
      <c r="A153" s="361" t="s">
        <v>1053</v>
      </c>
      <c r="B153" s="378"/>
      <c r="C153" s="596">
        <v>61968</v>
      </c>
      <c r="D153" s="596">
        <v>2000</v>
      </c>
      <c r="E153" s="597">
        <v>2000</v>
      </c>
      <c r="F153" s="598">
        <v>235000</v>
      </c>
      <c r="G153" s="596">
        <v>0</v>
      </c>
      <c r="H153" s="599">
        <v>235000</v>
      </c>
      <c r="I153" s="598">
        <v>235000</v>
      </c>
      <c r="J153" s="596">
        <v>235000</v>
      </c>
      <c r="K153" s="597">
        <v>235000</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600" t="s">
        <v>1057</v>
      </c>
      <c r="B167" s="601">
        <v>1</v>
      </c>
      <c r="C167" s="33">
        <f>C6+C74+C103+C110+C118+C136+C139+C149+C152+C155+C158+C161+C164</f>
        <v>61968</v>
      </c>
      <c r="D167" s="33">
        <f t="shared" ref="D167:K167" si="29">D6+D74+D103+D110+D118+D136+D139+D149+D152+D155+D158+D161+D164</f>
        <v>2000</v>
      </c>
      <c r="E167" s="602">
        <f t="shared" si="29"/>
        <v>2000</v>
      </c>
      <c r="F167" s="603">
        <f t="shared" si="29"/>
        <v>235000</v>
      </c>
      <c r="G167" s="33">
        <f t="shared" si="29"/>
        <v>0</v>
      </c>
      <c r="H167" s="604">
        <f t="shared" si="29"/>
        <v>235000</v>
      </c>
      <c r="I167" s="603">
        <f t="shared" si="29"/>
        <v>235000</v>
      </c>
      <c r="J167" s="33">
        <f t="shared" si="29"/>
        <v>235000</v>
      </c>
      <c r="K167" s="602">
        <f t="shared" si="29"/>
        <v>235000</v>
      </c>
    </row>
    <row r="168" spans="1:23" ht="6.6" customHeight="1" x14ac:dyDescent="0.25">
      <c r="A168" s="38"/>
      <c r="B168" s="544"/>
      <c r="C168" s="29"/>
      <c r="D168" s="29"/>
      <c r="E168" s="29"/>
      <c r="F168" s="29"/>
      <c r="G168" s="29"/>
      <c r="H168" s="29"/>
      <c r="I168" s="29"/>
      <c r="J168" s="29"/>
      <c r="K168" s="29"/>
      <c r="M168" s="39"/>
      <c r="N168" s="39"/>
      <c r="O168" s="39"/>
      <c r="P168" s="39"/>
      <c r="Q168" s="39"/>
      <c r="R168" s="39"/>
      <c r="S168" s="39"/>
      <c r="T168" s="39"/>
      <c r="U168" s="39"/>
      <c r="V168" s="39"/>
      <c r="W168" s="39"/>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61968</v>
      </c>
      <c r="D182" s="73">
        <f t="shared" ref="D182:K182" si="32">D167-D178</f>
        <v>2000</v>
      </c>
      <c r="E182" s="73">
        <f t="shared" si="32"/>
        <v>2000</v>
      </c>
      <c r="F182" s="73">
        <f t="shared" si="32"/>
        <v>235000</v>
      </c>
      <c r="G182" s="73">
        <f t="shared" si="32"/>
        <v>0</v>
      </c>
      <c r="H182" s="73">
        <f t="shared" si="32"/>
        <v>235000</v>
      </c>
      <c r="I182" s="73">
        <f t="shared" si="32"/>
        <v>235000</v>
      </c>
      <c r="J182" s="73">
        <f t="shared" si="32"/>
        <v>235000</v>
      </c>
      <c r="K182" s="73">
        <f t="shared" si="32"/>
        <v>235000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honeticPr fontId="2" type="noConversion"/>
  <printOptions horizontalCentered="1"/>
  <pageMargins left="0.37" right="0.14000000000000001" top="0.79" bottom="0.6" header="0.51181102362204722" footer="0.51"/>
  <pageSetup paperSize="9" scale="7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1">
    <tabColor rgb="FFCCFFCC"/>
    <pageSetUpPr fitToPage="1"/>
  </sheetPr>
  <dimension ref="A1:W217"/>
  <sheetViews>
    <sheetView showGridLines="0" zoomScaleNormal="100" workbookViewId="0">
      <pane xSplit="2" ySplit="3" topLeftCell="C163" activePane="bottomRight" state="frozen"/>
      <selection activeCell="M29" sqref="M29"/>
      <selection pane="topRight" activeCell="M29" sqref="M29"/>
      <selection pane="bottomLeft" activeCell="M29" sqref="M29"/>
      <selection pane="bottomRight"/>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MEB9b</f>
        <v>GREATER TZANEEN ECONOMIC DEVELOPMENT AGENCY - Supporting Table SD7b Capital expenditure on renewal of existing assets by asset class</v>
      </c>
    </row>
    <row r="2" spans="1:12" ht="25.5" x14ac:dyDescent="0.25">
      <c r="A2" s="539" t="str">
        <f>desc</f>
        <v>Description</v>
      </c>
      <c r="B2" s="540"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2018/19</v>
      </c>
      <c r="J3" s="398" t="str">
        <f>Head10</f>
        <v>Budget Year +1 2019/20</v>
      </c>
      <c r="K3" s="400" t="str">
        <f>Head11</f>
        <v>Budget Year +2 2020/21</v>
      </c>
    </row>
    <row r="4" spans="1:12" ht="12.75" customHeight="1" x14ac:dyDescent="0.25">
      <c r="A4" s="22" t="s">
        <v>897</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0</v>
      </c>
      <c r="D152" s="27">
        <f t="shared" si="24"/>
        <v>0</v>
      </c>
      <c r="E152" s="382">
        <f t="shared" si="24"/>
        <v>0</v>
      </c>
      <c r="F152" s="383">
        <f t="shared" si="24"/>
        <v>0</v>
      </c>
      <c r="G152" s="27">
        <f t="shared" si="24"/>
        <v>0</v>
      </c>
      <c r="H152" s="26">
        <f t="shared" si="24"/>
        <v>0</v>
      </c>
      <c r="I152" s="383">
        <f t="shared" si="24"/>
        <v>0</v>
      </c>
      <c r="J152" s="27">
        <f t="shared" si="24"/>
        <v>0</v>
      </c>
      <c r="K152" s="382">
        <f t="shared" si="24"/>
        <v>0</v>
      </c>
    </row>
    <row r="153" spans="1:11" ht="13.15" customHeight="1" x14ac:dyDescent="0.25">
      <c r="A153" s="361" t="s">
        <v>1053</v>
      </c>
      <c r="B153" s="378"/>
      <c r="C153" s="596"/>
      <c r="D153" s="596"/>
      <c r="E153" s="597"/>
      <c r="F153" s="598"/>
      <c r="G153" s="596"/>
      <c r="H153" s="599"/>
      <c r="I153" s="598"/>
      <c r="J153" s="596"/>
      <c r="K153" s="597"/>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847</v>
      </c>
      <c r="B167" s="601">
        <v>1</v>
      </c>
      <c r="C167" s="33">
        <f>C6+C74+C103+C110+C118+C136+C139+C149+C152+C155+C158+C161+C164</f>
        <v>0</v>
      </c>
      <c r="D167" s="33">
        <f t="shared" ref="D167:K167" si="29">D6+D74+D103+D110+D118+D136+D139+D149+D152+D155+D158+D161+D164</f>
        <v>0</v>
      </c>
      <c r="E167" s="602">
        <f t="shared" si="29"/>
        <v>0</v>
      </c>
      <c r="F167" s="603">
        <f t="shared" si="29"/>
        <v>0</v>
      </c>
      <c r="G167" s="33">
        <f t="shared" si="29"/>
        <v>0</v>
      </c>
      <c r="H167" s="604">
        <f t="shared" si="29"/>
        <v>0</v>
      </c>
      <c r="I167" s="603">
        <f t="shared" si="29"/>
        <v>0</v>
      </c>
      <c r="J167" s="33">
        <f t="shared" si="29"/>
        <v>0</v>
      </c>
      <c r="K167" s="602">
        <f t="shared" si="29"/>
        <v>0</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2">
    <tabColor rgb="FFCCFFCC"/>
    <pageSetUpPr fitToPage="1"/>
  </sheetPr>
  <dimension ref="A1:W217"/>
  <sheetViews>
    <sheetView showGridLines="0" zoomScaleNormal="100" workbookViewId="0">
      <pane xSplit="2" ySplit="3" topLeftCell="C157" activePane="bottomRight" state="frozen"/>
      <selection activeCell="M29" sqref="M29"/>
      <selection pane="topRight" activeCell="M29" sqref="M29"/>
      <selection pane="bottomLeft" activeCell="M29" sqref="M29"/>
      <selection pane="bottomRight" activeCell="K154" sqref="K154"/>
    </sheetView>
  </sheetViews>
  <sheetFormatPr defaultRowHeight="12.75" x14ac:dyDescent="0.25"/>
  <cols>
    <col min="1" max="1" width="38.2851562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MEB9c</f>
        <v>GREATER TZANEEN ECONOMIC DEVELOPMENT AGENCY - Supporting Table SD7c Expenditure on repairs and maintenance by asset class</v>
      </c>
    </row>
    <row r="2" spans="1:12" ht="25.5" x14ac:dyDescent="0.25">
      <c r="A2" s="539" t="str">
        <f>desc</f>
        <v>Description</v>
      </c>
      <c r="B2" s="540"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2018/19</v>
      </c>
      <c r="J3" s="398" t="str">
        <f>Head10</f>
        <v>Budget Year +1 2019/20</v>
      </c>
      <c r="K3" s="400" t="str">
        <f>Head11</f>
        <v>Budget Year +2 2020/21</v>
      </c>
    </row>
    <row r="4" spans="1:12" ht="12.75" customHeight="1" x14ac:dyDescent="0.25">
      <c r="A4" s="22" t="s">
        <v>896</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122119</v>
      </c>
      <c r="D152" s="27">
        <f t="shared" si="24"/>
        <v>143776</v>
      </c>
      <c r="E152" s="382">
        <f t="shared" si="24"/>
        <v>111683</v>
      </c>
      <c r="F152" s="383">
        <f t="shared" si="24"/>
        <v>213908</v>
      </c>
      <c r="G152" s="27">
        <f t="shared" si="24"/>
        <v>0</v>
      </c>
      <c r="H152" s="26">
        <f t="shared" si="24"/>
        <v>213908</v>
      </c>
      <c r="I152" s="383">
        <f t="shared" si="24"/>
        <v>167777.38</v>
      </c>
      <c r="J152" s="27">
        <f t="shared" si="24"/>
        <v>176568.47</v>
      </c>
      <c r="K152" s="382">
        <f t="shared" si="24"/>
        <v>183631.2</v>
      </c>
    </row>
    <row r="153" spans="1:11" ht="13.15" customHeight="1" x14ac:dyDescent="0.25">
      <c r="A153" s="361" t="s">
        <v>1053</v>
      </c>
      <c r="B153" s="378"/>
      <c r="C153" s="596">
        <v>122119</v>
      </c>
      <c r="D153" s="596">
        <v>143776</v>
      </c>
      <c r="E153" s="597">
        <v>111683</v>
      </c>
      <c r="F153" s="598">
        <v>213908</v>
      </c>
      <c r="G153" s="596">
        <v>0</v>
      </c>
      <c r="H153" s="599">
        <v>213908</v>
      </c>
      <c r="I153" s="598">
        <v>167777.38</v>
      </c>
      <c r="J153" s="596">
        <v>176568.47</v>
      </c>
      <c r="K153" s="597">
        <v>183631.2</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904</v>
      </c>
      <c r="B167" s="601">
        <v>1</v>
      </c>
      <c r="C167" s="33">
        <f>C6+C74+C103+C110+C118+C136+C139+C149+C152+C155+C158+C161+C164</f>
        <v>122119</v>
      </c>
      <c r="D167" s="33">
        <f t="shared" ref="D167:K167" si="29">D6+D74+D103+D110+D118+D136+D139+D149+D152+D155+D158+D161+D164</f>
        <v>143776</v>
      </c>
      <c r="E167" s="602">
        <f t="shared" si="29"/>
        <v>111683</v>
      </c>
      <c r="F167" s="603">
        <f t="shared" si="29"/>
        <v>213908</v>
      </c>
      <c r="G167" s="33">
        <f t="shared" si="29"/>
        <v>0</v>
      </c>
      <c r="H167" s="604">
        <f t="shared" si="29"/>
        <v>213908</v>
      </c>
      <c r="I167" s="603">
        <f t="shared" si="29"/>
        <v>167777.38</v>
      </c>
      <c r="J167" s="33">
        <f t="shared" si="29"/>
        <v>176568.47</v>
      </c>
      <c r="K167" s="602">
        <f t="shared" si="29"/>
        <v>183631.2</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122119</v>
      </c>
      <c r="D182" s="73">
        <f t="shared" ref="D182:K182" si="32">D167-D178</f>
        <v>143776</v>
      </c>
      <c r="E182" s="73">
        <f t="shared" si="32"/>
        <v>111683</v>
      </c>
      <c r="F182" s="73">
        <f t="shared" si="32"/>
        <v>213908</v>
      </c>
      <c r="G182" s="73">
        <f t="shared" si="32"/>
        <v>0</v>
      </c>
      <c r="H182" s="73">
        <f t="shared" si="32"/>
        <v>213908</v>
      </c>
      <c r="I182" s="73">
        <f t="shared" si="32"/>
        <v>167777.38</v>
      </c>
      <c r="J182" s="73">
        <f t="shared" si="32"/>
        <v>176568.47</v>
      </c>
      <c r="K182" s="73">
        <f t="shared" si="32"/>
        <v>183631.2</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4">
    <tabColor rgb="FFCCFFCC"/>
    <pageSetUpPr fitToPage="1"/>
  </sheetPr>
  <dimension ref="A1:W217"/>
  <sheetViews>
    <sheetView showGridLines="0" zoomScaleNormal="100" workbookViewId="0">
      <pane xSplit="2" ySplit="3" topLeftCell="C166" activePane="bottomRight" state="frozen"/>
      <selection activeCell="M29" sqref="M29"/>
      <selection pane="topRight" activeCell="M29" sqref="M29"/>
      <selection pane="bottomLeft" activeCell="M29" sqref="M29"/>
      <selection pane="bottomRight" activeCell="K173" sqref="K173"/>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MEB9d</f>
        <v>GREATER TZANEEN ECONOMIC DEVELOPMENT AGENCY - Supporting Table SD7d Depreciation by asset class</v>
      </c>
    </row>
    <row r="2" spans="1:12" ht="25.5" x14ac:dyDescent="0.25">
      <c r="A2" s="539" t="str">
        <f>desc</f>
        <v>Description</v>
      </c>
      <c r="B2" s="540"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2018/19</v>
      </c>
      <c r="J3" s="398" t="str">
        <f>Head10</f>
        <v>Budget Year +1 2019/20</v>
      </c>
      <c r="K3" s="400" t="str">
        <f>Head11</f>
        <v>Budget Year +2 2020/21</v>
      </c>
    </row>
    <row r="4" spans="1:12" ht="12.75" customHeight="1" x14ac:dyDescent="0.25">
      <c r="A4" s="606" t="s">
        <v>1060</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87245</v>
      </c>
      <c r="D152" s="27">
        <f t="shared" si="24"/>
        <v>54010</v>
      </c>
      <c r="E152" s="382">
        <f t="shared" si="24"/>
        <v>109091</v>
      </c>
      <c r="F152" s="383">
        <f t="shared" si="24"/>
        <v>83836.460000000006</v>
      </c>
      <c r="G152" s="27">
        <f t="shared" si="24"/>
        <v>0</v>
      </c>
      <c r="H152" s="26">
        <f t="shared" si="24"/>
        <v>83836.460000000006</v>
      </c>
      <c r="I152" s="383">
        <f t="shared" si="24"/>
        <v>75086</v>
      </c>
      <c r="J152" s="27">
        <f t="shared" si="24"/>
        <v>78090.11</v>
      </c>
      <c r="K152" s="382">
        <f t="shared" si="24"/>
        <v>81213.710000000006</v>
      </c>
    </row>
    <row r="153" spans="1:11" ht="13.15" customHeight="1" x14ac:dyDescent="0.25">
      <c r="A153" s="361" t="s">
        <v>1053</v>
      </c>
      <c r="B153" s="378"/>
      <c r="C153" s="596">
        <v>87245</v>
      </c>
      <c r="D153" s="596">
        <v>54010</v>
      </c>
      <c r="E153" s="597">
        <v>109091</v>
      </c>
      <c r="F153" s="598">
        <v>83836.460000000006</v>
      </c>
      <c r="G153" s="596">
        <v>0</v>
      </c>
      <c r="H153" s="599">
        <v>83836.460000000006</v>
      </c>
      <c r="I153" s="598">
        <v>75086</v>
      </c>
      <c r="J153" s="596">
        <v>78090.11</v>
      </c>
      <c r="K153" s="597">
        <f>81213.71</f>
        <v>81213.710000000006</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606" t="s">
        <v>1061</v>
      </c>
      <c r="B167" s="601">
        <v>1</v>
      </c>
      <c r="C167" s="33">
        <f>C6+C74+C103+C110+C118+C136+C139+C149+C152+C155+C158+C161+C164</f>
        <v>87245</v>
      </c>
      <c r="D167" s="33">
        <f t="shared" ref="D167:K167" si="29">D6+D74+D103+D110+D118+D136+D139+D149+D152+D155+D158+D161+D164</f>
        <v>54010</v>
      </c>
      <c r="E167" s="602">
        <f t="shared" si="29"/>
        <v>109091</v>
      </c>
      <c r="F167" s="603">
        <f t="shared" si="29"/>
        <v>83836.460000000006</v>
      </c>
      <c r="G167" s="33">
        <f t="shared" si="29"/>
        <v>0</v>
      </c>
      <c r="H167" s="604">
        <f t="shared" si="29"/>
        <v>83836.460000000006</v>
      </c>
      <c r="I167" s="603">
        <f t="shared" si="29"/>
        <v>75086</v>
      </c>
      <c r="J167" s="33">
        <f t="shared" si="29"/>
        <v>78090.11</v>
      </c>
      <c r="K167" s="602">
        <f t="shared" si="29"/>
        <v>81213.710000000006</v>
      </c>
    </row>
    <row r="168" spans="1:23" ht="6.6" customHeight="1" x14ac:dyDescent="0.25">
      <c r="A168" s="38"/>
      <c r="B168" s="544"/>
      <c r="C168" s="29"/>
      <c r="D168" s="29"/>
      <c r="E168" s="29"/>
      <c r="F168" s="29"/>
      <c r="G168" s="29"/>
      <c r="H168" s="29"/>
      <c r="I168" s="29"/>
      <c r="J168" s="29"/>
      <c r="K168" s="29"/>
      <c r="M168" s="39"/>
      <c r="N168" s="39"/>
      <c r="O168" s="39"/>
      <c r="P168" s="39"/>
      <c r="Q168" s="39"/>
      <c r="R168" s="39"/>
      <c r="S168" s="39"/>
      <c r="T168" s="39"/>
      <c r="U168" s="39"/>
      <c r="V168" s="39"/>
      <c r="W168" s="39"/>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f>C153</f>
        <v>87245</v>
      </c>
      <c r="D172" s="270">
        <f>D153</f>
        <v>54010</v>
      </c>
      <c r="E172" s="271">
        <f>E153</f>
        <v>109091</v>
      </c>
      <c r="F172" s="272">
        <f>F153</f>
        <v>83836.460000000006</v>
      </c>
      <c r="G172" s="270"/>
      <c r="H172" s="271">
        <f>H153</f>
        <v>83836.460000000006</v>
      </c>
      <c r="I172" s="272">
        <f>I153</f>
        <v>75086</v>
      </c>
      <c r="J172" s="270">
        <f>J153</f>
        <v>78090.11</v>
      </c>
      <c r="K172" s="271">
        <f>K153</f>
        <v>81213.710000000006</v>
      </c>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87245</v>
      </c>
      <c r="D174" s="224">
        <f t="shared" ref="D174:K174" si="30">SUM(D170:D173)</f>
        <v>54010</v>
      </c>
      <c r="E174" s="225">
        <f t="shared" si="30"/>
        <v>109091</v>
      </c>
      <c r="F174" s="223">
        <f t="shared" si="30"/>
        <v>83836.460000000006</v>
      </c>
      <c r="G174" s="224">
        <f t="shared" si="30"/>
        <v>0</v>
      </c>
      <c r="H174" s="225">
        <f t="shared" si="30"/>
        <v>83836.460000000006</v>
      </c>
      <c r="I174" s="223">
        <f t="shared" si="30"/>
        <v>75086</v>
      </c>
      <c r="J174" s="224">
        <f t="shared" si="30"/>
        <v>78090.11</v>
      </c>
      <c r="K174" s="225">
        <f t="shared" si="30"/>
        <v>81213.710000000006</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87245</v>
      </c>
      <c r="D178" s="33">
        <f t="shared" si="31"/>
        <v>54010</v>
      </c>
      <c r="E178" s="133">
        <f t="shared" si="31"/>
        <v>109091</v>
      </c>
      <c r="F178" s="34">
        <f t="shared" si="31"/>
        <v>83836.460000000006</v>
      </c>
      <c r="G178" s="33">
        <f t="shared" si="31"/>
        <v>0</v>
      </c>
      <c r="H178" s="133">
        <f t="shared" si="31"/>
        <v>83836.460000000006</v>
      </c>
      <c r="I178" s="34">
        <f t="shared" si="31"/>
        <v>75086</v>
      </c>
      <c r="J178" s="33">
        <f t="shared" si="31"/>
        <v>78090.11</v>
      </c>
      <c r="K178" s="133">
        <f t="shared" si="31"/>
        <v>81213.710000000006</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1">
    <tabColor indexed="46"/>
  </sheetPr>
  <dimension ref="D2:Y36"/>
  <sheetViews>
    <sheetView showGridLines="0" topLeftCell="A13" zoomScaleNormal="100" workbookViewId="0">
      <selection activeCell="M17" sqref="M17"/>
    </sheetView>
  </sheetViews>
  <sheetFormatPr defaultRowHeight="12.75" x14ac:dyDescent="0.2"/>
  <cols>
    <col min="23" max="23" width="19.7109375" style="479" customWidth="1"/>
    <col min="24" max="25" width="9.140625" style="479" customWidth="1"/>
  </cols>
  <sheetData>
    <row r="2" spans="4:24" x14ac:dyDescent="0.2">
      <c r="D2">
        <v>2020</v>
      </c>
    </row>
    <row r="4" spans="4:24" x14ac:dyDescent="0.2">
      <c r="X4" s="505" t="s">
        <v>601</v>
      </c>
    </row>
    <row r="5" spans="4:24" x14ac:dyDescent="0.2">
      <c r="X5" s="505" t="s">
        <v>602</v>
      </c>
    </row>
    <row r="6" spans="4:24" x14ac:dyDescent="0.2">
      <c r="X6" s="505"/>
    </row>
    <row r="7" spans="4:24" x14ac:dyDescent="0.2">
      <c r="W7" s="486" t="s">
        <v>603</v>
      </c>
      <c r="X7" s="505" t="s">
        <v>604</v>
      </c>
    </row>
    <row r="8" spans="4:24" x14ac:dyDescent="0.2">
      <c r="X8" s="505" t="s">
        <v>605</v>
      </c>
    </row>
    <row r="9" spans="4:24" x14ac:dyDescent="0.2">
      <c r="X9" s="505"/>
    </row>
    <row r="10" spans="4:24" x14ac:dyDescent="0.2">
      <c r="X10" s="505"/>
    </row>
    <row r="11" spans="4:24" x14ac:dyDescent="0.2">
      <c r="X11" s="505"/>
    </row>
    <row r="12" spans="4:24" x14ac:dyDescent="0.2">
      <c r="X12" s="505"/>
    </row>
    <row r="13" spans="4:24" x14ac:dyDescent="0.2">
      <c r="X13" s="505"/>
    </row>
    <row r="14" spans="4:24" x14ac:dyDescent="0.2">
      <c r="X14" s="505"/>
    </row>
    <row r="15" spans="4:24" x14ac:dyDescent="0.2">
      <c r="X15" s="505"/>
    </row>
    <row r="16" spans="4:24" x14ac:dyDescent="0.2">
      <c r="X16" s="505"/>
    </row>
    <row r="17" spans="23:24" x14ac:dyDescent="0.2">
      <c r="W17" s="486" t="s">
        <v>606</v>
      </c>
      <c r="X17" s="505">
        <v>2008</v>
      </c>
    </row>
    <row r="18" spans="23:24" x14ac:dyDescent="0.2">
      <c r="X18" s="505">
        <v>2009</v>
      </c>
    </row>
    <row r="19" spans="23:24" x14ac:dyDescent="0.2">
      <c r="X19" s="505">
        <v>2010</v>
      </c>
    </row>
    <row r="20" spans="23:24" x14ac:dyDescent="0.2">
      <c r="X20" s="505">
        <v>2011</v>
      </c>
    </row>
    <row r="21" spans="23:24" x14ac:dyDescent="0.2">
      <c r="X21" s="505">
        <v>2012</v>
      </c>
    </row>
    <row r="22" spans="23:24" x14ac:dyDescent="0.2">
      <c r="X22" s="505">
        <v>2013</v>
      </c>
    </row>
    <row r="23" spans="23:24" x14ac:dyDescent="0.2">
      <c r="X23" s="505">
        <v>2014</v>
      </c>
    </row>
    <row r="24" spans="23:24" x14ac:dyDescent="0.2">
      <c r="X24" s="505">
        <v>2015</v>
      </c>
    </row>
    <row r="25" spans="23:24" x14ac:dyDescent="0.2">
      <c r="X25" s="505">
        <v>2016</v>
      </c>
    </row>
    <row r="26" spans="23:24" x14ac:dyDescent="0.2">
      <c r="X26" s="505">
        <v>2017</v>
      </c>
    </row>
    <row r="27" spans="23:24" x14ac:dyDescent="0.2">
      <c r="X27" s="505">
        <v>2018</v>
      </c>
    </row>
    <row r="28" spans="23:24" x14ac:dyDescent="0.2">
      <c r="X28" s="505">
        <v>2019</v>
      </c>
    </row>
    <row r="29" spans="23:24" x14ac:dyDescent="0.2">
      <c r="X29" s="505">
        <v>2020</v>
      </c>
    </row>
    <row r="30" spans="23:24" x14ac:dyDescent="0.2">
      <c r="X30" s="505">
        <v>2021</v>
      </c>
    </row>
    <row r="31" spans="23:24" x14ac:dyDescent="0.2">
      <c r="X31" s="505">
        <v>2022</v>
      </c>
    </row>
    <row r="32" spans="23:24" x14ac:dyDescent="0.2">
      <c r="X32" s="505"/>
    </row>
    <row r="33" spans="23:24" x14ac:dyDescent="0.2">
      <c r="W33" s="486" t="s">
        <v>607</v>
      </c>
      <c r="X33" s="505">
        <v>11</v>
      </c>
    </row>
    <row r="34" spans="23:24" x14ac:dyDescent="0.2">
      <c r="W34" s="486" t="s">
        <v>608</v>
      </c>
      <c r="X34" s="506">
        <f>INDEX(X17:X31,X33,1)</f>
        <v>2018</v>
      </c>
    </row>
    <row r="36" spans="23:24" x14ac:dyDescent="0.2">
      <c r="W36" s="486" t="s">
        <v>609</v>
      </c>
      <c r="X36" s="487" t="str">
        <f>MTREF&amp;"/"&amp;RIGHT(MTREF,2)+1</f>
        <v>2018/19</v>
      </c>
    </row>
  </sheetData>
  <sheetProtection sheet="1" objects="1" scenarios="1"/>
  <phoneticPr fontId="2" type="noConversion"/>
  <pageMargins left="0.75" right="0.75" top="1" bottom="1" header="0.5" footer="0.5"/>
  <pageSetup scale="70" orientation="portrait" horizontalDpi="200" verticalDpi="200" r:id="rId1"/>
  <headerFooter alignWithMargins="0"/>
  <drawing r:id="rId2"/>
  <legacyDrawing r:id="rId3"/>
  <controls>
    <mc:AlternateContent xmlns:mc="http://schemas.openxmlformats.org/markup-compatibility/2006">
      <mc:Choice Requires="x14">
        <control shapeId="5137" r:id="rId4" name="TextBox1">
          <controlPr defaultSize="0" autoLine="0" linkedCell="entity" r:id="rId5">
            <anchor moveWithCells="1">
              <from>
                <xdr:col>3</xdr:col>
                <xdr:colOff>466725</xdr:colOff>
                <xdr:row>8</xdr:row>
                <xdr:rowOff>19050</xdr:rowOff>
              </from>
              <to>
                <xdr:col>8</xdr:col>
                <xdr:colOff>0</xdr:colOff>
                <xdr:row>9</xdr:row>
                <xdr:rowOff>123825</xdr:rowOff>
              </to>
            </anchor>
          </controlPr>
        </control>
      </mc:Choice>
      <mc:Fallback>
        <control shapeId="5137" r:id="rId4" name="TextBox1"/>
      </mc:Fallback>
    </mc:AlternateContent>
    <mc:AlternateContent xmlns:mc="http://schemas.openxmlformats.org/markup-compatibility/2006">
      <mc:Choice Requires="x14">
        <control shapeId="5142" r:id="rId6" name="TextBox3">
          <controlPr defaultSize="0" autoLine="0" autoPict="0" r:id="rId7">
            <anchor moveWithCells="1">
              <from>
                <xdr:col>5</xdr:col>
                <xdr:colOff>219075</xdr:colOff>
                <xdr:row>10</xdr:row>
                <xdr:rowOff>123825</xdr:rowOff>
              </from>
              <to>
                <xdr:col>9</xdr:col>
                <xdr:colOff>371475</xdr:colOff>
                <xdr:row>12</xdr:row>
                <xdr:rowOff>66675</xdr:rowOff>
              </to>
            </anchor>
          </controlPr>
        </control>
      </mc:Choice>
      <mc:Fallback>
        <control shapeId="5142" r:id="rId6" name="TextBox3"/>
      </mc:Fallback>
    </mc:AlternateContent>
    <mc:AlternateContent xmlns:mc="http://schemas.openxmlformats.org/markup-compatibility/2006">
      <mc:Choice Requires="x14">
        <control shapeId="5143" r:id="rId8" name="TextBox4">
          <controlPr defaultSize="0" autoLine="0" autoPict="0" r:id="rId9">
            <anchor moveWithCells="1">
              <from>
                <xdr:col>5</xdr:col>
                <xdr:colOff>219075</xdr:colOff>
                <xdr:row>13</xdr:row>
                <xdr:rowOff>47625</xdr:rowOff>
              </from>
              <to>
                <xdr:col>7</xdr:col>
                <xdr:colOff>85725</xdr:colOff>
                <xdr:row>14</xdr:row>
                <xdr:rowOff>133350</xdr:rowOff>
              </to>
            </anchor>
          </controlPr>
        </control>
      </mc:Choice>
      <mc:Fallback>
        <control shapeId="5143" r:id="rId8" name="TextBox4"/>
      </mc:Fallback>
    </mc:AlternateContent>
    <mc:AlternateContent xmlns:mc="http://schemas.openxmlformats.org/markup-compatibility/2006">
      <mc:Choice Requires="x14">
        <control shapeId="5144" r:id="rId10" name="TextBox5">
          <controlPr defaultSize="0" autoLine="0" autoPict="0" r:id="rId11">
            <anchor moveWithCells="1">
              <from>
                <xdr:col>5</xdr:col>
                <xdr:colOff>238125</xdr:colOff>
                <xdr:row>15</xdr:row>
                <xdr:rowOff>123825</xdr:rowOff>
              </from>
              <to>
                <xdr:col>9</xdr:col>
                <xdr:colOff>400050</xdr:colOff>
                <xdr:row>17</xdr:row>
                <xdr:rowOff>57150</xdr:rowOff>
              </to>
            </anchor>
          </controlPr>
        </control>
      </mc:Choice>
      <mc:Fallback>
        <control shapeId="5144" r:id="rId10" name="TextBox5"/>
      </mc:Fallback>
    </mc:AlternateContent>
    <mc:AlternateContent xmlns:mc="http://schemas.openxmlformats.org/markup-compatibility/2006">
      <mc:Choice Requires="x14">
        <control shapeId="5145" r:id="rId12" name="TextBox6">
          <controlPr defaultSize="0" autoLine="0" autoPict="0" r:id="rId13">
            <anchor moveWithCells="1">
              <from>
                <xdr:col>9</xdr:col>
                <xdr:colOff>114300</xdr:colOff>
                <xdr:row>13</xdr:row>
                <xdr:rowOff>85725</xdr:rowOff>
              </from>
              <to>
                <xdr:col>10</xdr:col>
                <xdr:colOff>485775</xdr:colOff>
                <xdr:row>15</xdr:row>
                <xdr:rowOff>28575</xdr:rowOff>
              </to>
            </anchor>
          </controlPr>
        </control>
      </mc:Choice>
      <mc:Fallback>
        <control shapeId="5145" r:id="rId12" name="TextBox6"/>
      </mc:Fallback>
    </mc:AlternateContent>
    <mc:AlternateContent xmlns:mc="http://schemas.openxmlformats.org/markup-compatibility/2006">
      <mc:Choice Requires="x14">
        <control shapeId="5146" r:id="rId14" name="ToggleReferenceColumns">
          <controlPr defaultSize="0" autoLine="0" autoPict="0" r:id="rId15">
            <anchor moveWithCells="1">
              <from>
                <xdr:col>0</xdr:col>
                <xdr:colOff>590550</xdr:colOff>
                <xdr:row>34</xdr:row>
                <xdr:rowOff>104775</xdr:rowOff>
              </from>
              <to>
                <xdr:col>4</xdr:col>
                <xdr:colOff>85725</xdr:colOff>
                <xdr:row>36</xdr:row>
                <xdr:rowOff>28575</xdr:rowOff>
              </to>
            </anchor>
          </controlPr>
        </control>
      </mc:Choice>
      <mc:Fallback>
        <control shapeId="5146" r:id="rId14" name="ToggleReferenceColumns"/>
      </mc:Fallback>
    </mc:AlternateContent>
    <mc:AlternateContent xmlns:mc="http://schemas.openxmlformats.org/markup-compatibility/2006">
      <mc:Choice Requires="x14">
        <control shapeId="5147" r:id="rId16" name="TogglePreAuditColums">
          <controlPr defaultSize="0" autoLine="0" r:id="rId17">
            <anchor moveWithCells="1">
              <from>
                <xdr:col>0</xdr:col>
                <xdr:colOff>581025</xdr:colOff>
                <xdr:row>36</xdr:row>
                <xdr:rowOff>123825</xdr:rowOff>
              </from>
              <to>
                <xdr:col>4</xdr:col>
                <xdr:colOff>85725</xdr:colOff>
                <xdr:row>38</xdr:row>
                <xdr:rowOff>85725</xdr:rowOff>
              </to>
            </anchor>
          </controlPr>
        </control>
      </mc:Choice>
      <mc:Fallback>
        <control shapeId="5147" r:id="rId16" name="TogglePreAuditColums"/>
      </mc:Fallback>
    </mc:AlternateContent>
    <mc:AlternateContent xmlns:mc="http://schemas.openxmlformats.org/markup-compatibility/2006">
      <mc:Choice Requires="x14">
        <control shapeId="5148" r:id="rId18" name="ToggleHiddenColumns">
          <controlPr defaultSize="0" autoLine="0" autoPict="0" r:id="rId19">
            <anchor moveWithCells="1">
              <from>
                <xdr:col>0</xdr:col>
                <xdr:colOff>371475</xdr:colOff>
                <xdr:row>29</xdr:row>
                <xdr:rowOff>104775</xdr:rowOff>
              </from>
              <to>
                <xdr:col>3</xdr:col>
                <xdr:colOff>238125</xdr:colOff>
                <xdr:row>31</xdr:row>
                <xdr:rowOff>0</xdr:rowOff>
              </to>
            </anchor>
          </controlPr>
        </control>
      </mc:Choice>
      <mc:Fallback>
        <control shapeId="5148" r:id="rId18" name="ToggleHiddenColumns"/>
      </mc:Fallback>
    </mc:AlternateContent>
    <mc:AlternateContent xmlns:mc="http://schemas.openxmlformats.org/markup-compatibility/2006">
      <mc:Choice Requires="x14">
        <control shapeId="5140" r:id="rId20" name="Drop Down 20">
          <controlPr defaultSize="0" autoLine="0" autoPict="0">
            <anchor moveWithCells="1">
              <from>
                <xdr:col>5</xdr:col>
                <xdr:colOff>238125</xdr:colOff>
                <xdr:row>19</xdr:row>
                <xdr:rowOff>28575</xdr:rowOff>
              </from>
              <to>
                <xdr:col>6</xdr:col>
                <xdr:colOff>495300</xdr:colOff>
                <xdr:row>20</xdr:row>
                <xdr:rowOff>47625</xdr:rowOff>
              </to>
            </anchor>
          </controlPr>
        </control>
      </mc:Choice>
    </mc:AlternateContent>
    <mc:AlternateContent xmlns:mc="http://schemas.openxmlformats.org/markup-compatibility/2006">
      <mc:Choice Requires="x14">
        <control shapeId="5156" r:id="rId21" name="Drop Down 36">
          <controlPr defaultSize="0" autoLine="0" autoPict="0">
            <anchor moveWithCells="1">
              <from>
                <xdr:col>3</xdr:col>
                <xdr:colOff>466725</xdr:colOff>
                <xdr:row>5</xdr:row>
                <xdr:rowOff>28575</xdr:rowOff>
              </from>
              <to>
                <xdr:col>7</xdr:col>
                <xdr:colOff>600075</xdr:colOff>
                <xdr:row>6</xdr:row>
                <xdr:rowOff>38100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3">
    <tabColor rgb="FFCCFFCC"/>
    <pageSetUpPr fitToPage="1"/>
  </sheetPr>
  <dimension ref="A1:W217"/>
  <sheetViews>
    <sheetView showGridLines="0" zoomScaleNormal="100" workbookViewId="0">
      <pane xSplit="2" ySplit="3" topLeftCell="C172" activePane="bottomRight" state="frozen"/>
      <selection activeCell="M29" sqref="M29"/>
      <selection pane="topRight" activeCell="M29" sqref="M29"/>
      <selection pane="bottomLeft" activeCell="M29" sqref="M29"/>
      <selection pane="bottomRight" activeCell="E149" sqref="E149"/>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MEB9e</f>
        <v>GREATER TZANEEN ECONOMIC DEVELOPMENT AGENCY - Supporting Table SD7e Capital expenditure on upgrading of existing assets by asset class</v>
      </c>
    </row>
    <row r="2" spans="1:12" ht="25.5" x14ac:dyDescent="0.25">
      <c r="A2" s="539" t="str">
        <f>desc</f>
        <v>Description</v>
      </c>
      <c r="B2" s="540"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2018/19</v>
      </c>
      <c r="J3" s="398" t="str">
        <f>Head10</f>
        <v>Budget Year +1 2019/20</v>
      </c>
      <c r="K3" s="400" t="str">
        <f>Head11</f>
        <v>Budget Year +2 2020/21</v>
      </c>
    </row>
    <row r="4" spans="1:12" ht="12.75" customHeight="1" x14ac:dyDescent="0.25">
      <c r="A4" s="22" t="s">
        <v>1058</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0</v>
      </c>
      <c r="D152" s="27">
        <f t="shared" si="24"/>
        <v>0</v>
      </c>
      <c r="E152" s="382">
        <f t="shared" si="24"/>
        <v>0</v>
      </c>
      <c r="F152" s="383">
        <f t="shared" si="24"/>
        <v>0</v>
      </c>
      <c r="G152" s="27">
        <f t="shared" si="24"/>
        <v>0</v>
      </c>
      <c r="H152" s="26">
        <f t="shared" si="24"/>
        <v>0</v>
      </c>
      <c r="I152" s="383">
        <f t="shared" si="24"/>
        <v>0</v>
      </c>
      <c r="J152" s="27">
        <f t="shared" si="24"/>
        <v>0</v>
      </c>
      <c r="K152" s="382">
        <f t="shared" si="24"/>
        <v>0</v>
      </c>
    </row>
    <row r="153" spans="1:11" ht="13.15" customHeight="1" x14ac:dyDescent="0.25">
      <c r="A153" s="361" t="s">
        <v>1053</v>
      </c>
      <c r="B153" s="378"/>
      <c r="C153" s="596"/>
      <c r="D153" s="596"/>
      <c r="E153" s="597"/>
      <c r="F153" s="598"/>
      <c r="G153" s="596"/>
      <c r="H153" s="599"/>
      <c r="I153" s="598"/>
      <c r="J153" s="596"/>
      <c r="K153" s="597"/>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1059</v>
      </c>
      <c r="B167" s="601">
        <v>1</v>
      </c>
      <c r="C167" s="33">
        <f>C6+C74+C103+C110+C118+C136+C139+C149+C152+C155+C158+C161+C164</f>
        <v>0</v>
      </c>
      <c r="D167" s="33">
        <f t="shared" ref="D167:K167" si="29">D6+D74+D103+D110+D118+D136+D139+D149+D152+D155+D158+D161+D164</f>
        <v>0</v>
      </c>
      <c r="E167" s="602">
        <f t="shared" si="29"/>
        <v>0</v>
      </c>
      <c r="F167" s="603">
        <f t="shared" si="29"/>
        <v>0</v>
      </c>
      <c r="G167" s="33">
        <f t="shared" si="29"/>
        <v>0</v>
      </c>
      <c r="H167" s="604">
        <f t="shared" si="29"/>
        <v>0</v>
      </c>
      <c r="I167" s="603">
        <f t="shared" si="29"/>
        <v>0</v>
      </c>
      <c r="J167" s="33">
        <f t="shared" si="29"/>
        <v>0</v>
      </c>
      <c r="K167" s="602">
        <f t="shared" si="29"/>
        <v>0</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8">
    <tabColor rgb="FFCCFFCC"/>
    <pageSetUpPr fitToPage="1"/>
  </sheetPr>
  <dimension ref="A1:I111"/>
  <sheetViews>
    <sheetView showGridLines="0" view="pageBreakPreview" zoomScale="120" zoomScaleNormal="100" zoomScaleSheetLayoutView="120" workbookViewId="0">
      <pane xSplit="2" ySplit="4" topLeftCell="C32" activePane="bottomRight" state="frozen"/>
      <selection activeCell="M29" sqref="M29"/>
      <selection pane="topRight" activeCell="M29" sqref="M29"/>
      <selection pane="bottomLeft" activeCell="M29" sqref="M29"/>
      <selection pane="bottomRight" activeCell="E11" sqref="E11"/>
    </sheetView>
  </sheetViews>
  <sheetFormatPr defaultRowHeight="12.75" x14ac:dyDescent="0.25"/>
  <cols>
    <col min="1" max="1" width="35.7109375" style="20" customWidth="1"/>
    <col min="2" max="2" width="3.140625" style="43" customWidth="1"/>
    <col min="3" max="9" width="8.7109375" style="20" customWidth="1"/>
    <col min="10" max="10" width="9.5703125" style="20" customWidth="1"/>
    <col min="11" max="11" width="9.85546875" style="20" customWidth="1"/>
    <col min="12" max="14" width="9.5703125" style="20" customWidth="1"/>
    <col min="15" max="15" width="9.85546875" style="20" customWidth="1"/>
    <col min="16" max="18" width="9.5703125" style="20" customWidth="1"/>
    <col min="19" max="20" width="9.85546875" style="20" customWidth="1"/>
    <col min="21" max="16384" width="9.140625" style="20"/>
  </cols>
  <sheetData>
    <row r="1" spans="1:9" ht="13.5" x14ac:dyDescent="0.25">
      <c r="A1" s="112" t="str">
        <f>_MEB12</f>
        <v>GREATER TZANEEN ECONOMIC DEVELOPMENT AGENCY - Supporting Table SD8 Future financial implications of the capital expenditure budget</v>
      </c>
    </row>
    <row r="2" spans="1:9" ht="25.5" x14ac:dyDescent="0.25">
      <c r="A2" s="632" t="str">
        <f>Vdesc</f>
        <v>Vote Description</v>
      </c>
      <c r="B2" s="632" t="str">
        <f>head27</f>
        <v>Ref</v>
      </c>
      <c r="C2" s="131" t="str">
        <f>Head3a</f>
        <v>Medium Term Revenue and Expenditure Framework</v>
      </c>
      <c r="D2" s="129"/>
      <c r="E2" s="202"/>
      <c r="F2" s="622" t="s">
        <v>9</v>
      </c>
      <c r="G2" s="623"/>
      <c r="H2" s="623"/>
      <c r="I2" s="624"/>
    </row>
    <row r="3" spans="1:9" ht="12.75" customHeight="1" x14ac:dyDescent="0.25">
      <c r="A3" s="633"/>
      <c r="B3" s="633"/>
      <c r="C3" s="651" t="str">
        <f>Head9</f>
        <v>Budget Year 2018/19</v>
      </c>
      <c r="D3" s="652" t="str">
        <f>Head10</f>
        <v>Budget Year +1 2019/20</v>
      </c>
      <c r="E3" s="653" t="str">
        <f>Head11</f>
        <v>Budget Year +2 2020/21</v>
      </c>
      <c r="F3" s="651" t="str">
        <f>Head12</f>
        <v>Forecast 2021/22</v>
      </c>
      <c r="G3" s="652" t="str">
        <f>Head13</f>
        <v>Forecast 2022/23</v>
      </c>
      <c r="H3" s="652" t="str">
        <f>Head14</f>
        <v>Forecast 2023/24</v>
      </c>
      <c r="I3" s="655" t="str">
        <f>Head48</f>
        <v>Present value</v>
      </c>
    </row>
    <row r="4" spans="1:9" ht="13.5" customHeight="1" x14ac:dyDescent="0.25">
      <c r="A4" s="159" t="s">
        <v>206</v>
      </c>
      <c r="B4" s="140"/>
      <c r="C4" s="638"/>
      <c r="D4" s="640"/>
      <c r="E4" s="654"/>
      <c r="F4" s="638"/>
      <c r="G4" s="640"/>
      <c r="H4" s="640"/>
      <c r="I4" s="636"/>
    </row>
    <row r="5" spans="1:9" ht="12.75" customHeight="1" x14ac:dyDescent="0.25">
      <c r="A5" s="329" t="s">
        <v>132</v>
      </c>
      <c r="B5" s="114"/>
      <c r="C5" s="28"/>
      <c r="D5" s="27"/>
      <c r="E5" s="63"/>
      <c r="F5" s="28"/>
      <c r="G5" s="27"/>
      <c r="H5" s="27"/>
      <c r="I5" s="105"/>
    </row>
    <row r="6" spans="1:9" ht="12.75" customHeight="1" x14ac:dyDescent="0.25">
      <c r="A6" s="330" t="s">
        <v>491</v>
      </c>
      <c r="B6" s="114">
        <v>1</v>
      </c>
      <c r="C6" s="272"/>
      <c r="D6" s="270"/>
      <c r="E6" s="301"/>
      <c r="F6" s="272"/>
      <c r="G6" s="270"/>
      <c r="H6" s="270"/>
      <c r="I6" s="271"/>
    </row>
    <row r="7" spans="1:9" ht="12.75" customHeight="1" x14ac:dyDescent="0.25">
      <c r="A7" s="331"/>
      <c r="B7" s="114"/>
      <c r="C7" s="272"/>
      <c r="D7" s="270"/>
      <c r="E7" s="301"/>
      <c r="F7" s="272"/>
      <c r="G7" s="270"/>
      <c r="H7" s="270"/>
      <c r="I7" s="271"/>
    </row>
    <row r="8" spans="1:9" ht="12.75" customHeight="1" x14ac:dyDescent="0.25">
      <c r="A8" s="331"/>
      <c r="B8" s="114"/>
      <c r="C8" s="272"/>
      <c r="D8" s="270"/>
      <c r="E8" s="301"/>
      <c r="F8" s="272"/>
      <c r="G8" s="270"/>
      <c r="H8" s="270"/>
      <c r="I8" s="271"/>
    </row>
    <row r="9" spans="1:9" ht="12.75" customHeight="1" x14ac:dyDescent="0.25">
      <c r="A9" s="331"/>
      <c r="B9" s="114"/>
      <c r="C9" s="272"/>
      <c r="D9" s="270"/>
      <c r="E9" s="301"/>
      <c r="F9" s="272"/>
      <c r="G9" s="270"/>
      <c r="H9" s="270"/>
      <c r="I9" s="271"/>
    </row>
    <row r="10" spans="1:9" ht="12.75" customHeight="1" x14ac:dyDescent="0.25">
      <c r="A10" s="331"/>
      <c r="B10" s="114"/>
      <c r="C10" s="272"/>
      <c r="D10" s="270"/>
      <c r="E10" s="301"/>
      <c r="F10" s="272"/>
      <c r="G10" s="270"/>
      <c r="H10" s="270"/>
      <c r="I10" s="271"/>
    </row>
    <row r="11" spans="1:9" ht="12.75" customHeight="1" x14ac:dyDescent="0.25">
      <c r="A11" s="331"/>
      <c r="B11" s="114"/>
      <c r="C11" s="272"/>
      <c r="D11" s="270"/>
      <c r="E11" s="301"/>
      <c r="F11" s="272"/>
      <c r="G11" s="270"/>
      <c r="H11" s="270"/>
      <c r="I11" s="271"/>
    </row>
    <row r="12" spans="1:9" ht="12.75" customHeight="1" x14ac:dyDescent="0.25">
      <c r="A12" s="332" t="s">
        <v>152</v>
      </c>
      <c r="B12" s="132"/>
      <c r="C12" s="45">
        <f t="shared" ref="C12:I12" si="0">SUM(C6:C11)</f>
        <v>0</v>
      </c>
      <c r="D12" s="44">
        <f t="shared" si="0"/>
        <v>0</v>
      </c>
      <c r="E12" s="150">
        <f t="shared" si="0"/>
        <v>0</v>
      </c>
      <c r="F12" s="45">
        <f t="shared" si="0"/>
        <v>0</v>
      </c>
      <c r="G12" s="44">
        <f t="shared" si="0"/>
        <v>0</v>
      </c>
      <c r="H12" s="44">
        <f t="shared" si="0"/>
        <v>0</v>
      </c>
      <c r="I12" s="106">
        <f t="shared" si="0"/>
        <v>0</v>
      </c>
    </row>
    <row r="13" spans="1:9" ht="5.0999999999999996" customHeight="1" x14ac:dyDescent="0.25">
      <c r="A13" s="333"/>
      <c r="B13" s="114"/>
      <c r="C13" s="28"/>
      <c r="D13" s="27"/>
      <c r="E13" s="63"/>
      <c r="F13" s="28"/>
      <c r="G13" s="27"/>
      <c r="H13" s="27"/>
      <c r="I13" s="105"/>
    </row>
    <row r="14" spans="1:9" ht="12.75" customHeight="1" x14ac:dyDescent="0.25">
      <c r="A14" s="329" t="s">
        <v>10</v>
      </c>
      <c r="B14" s="114"/>
      <c r="C14" s="28"/>
      <c r="D14" s="27"/>
      <c r="E14" s="63"/>
      <c r="F14" s="28"/>
      <c r="G14" s="27"/>
      <c r="H14" s="27"/>
      <c r="I14" s="105"/>
    </row>
    <row r="15" spans="1:9" ht="12.75" customHeight="1" x14ac:dyDescent="0.25">
      <c r="A15" s="330" t="s">
        <v>492</v>
      </c>
      <c r="B15" s="115">
        <v>2</v>
      </c>
      <c r="C15" s="272"/>
      <c r="D15" s="270"/>
      <c r="E15" s="301"/>
      <c r="F15" s="272"/>
      <c r="G15" s="270"/>
      <c r="H15" s="270"/>
      <c r="I15" s="271"/>
    </row>
    <row r="16" spans="1:9" ht="12.75" customHeight="1" x14ac:dyDescent="0.25">
      <c r="A16" s="330"/>
      <c r="B16" s="115"/>
      <c r="C16" s="272"/>
      <c r="D16" s="270"/>
      <c r="E16" s="301"/>
      <c r="F16" s="272"/>
      <c r="G16" s="270"/>
      <c r="H16" s="270"/>
      <c r="I16" s="271"/>
    </row>
    <row r="17" spans="1:9" ht="12.75" customHeight="1" x14ac:dyDescent="0.25">
      <c r="A17" s="331"/>
      <c r="B17" s="115"/>
      <c r="C17" s="272"/>
      <c r="D17" s="270"/>
      <c r="E17" s="301"/>
      <c r="F17" s="272"/>
      <c r="G17" s="270"/>
      <c r="H17" s="270"/>
      <c r="I17" s="271"/>
    </row>
    <row r="18" spans="1:9" ht="12.75" customHeight="1" x14ac:dyDescent="0.25">
      <c r="A18" s="334"/>
      <c r="B18" s="115"/>
      <c r="C18" s="272"/>
      <c r="D18" s="270"/>
      <c r="E18" s="301"/>
      <c r="F18" s="272"/>
      <c r="G18" s="270"/>
      <c r="H18" s="270"/>
      <c r="I18" s="271"/>
    </row>
    <row r="19" spans="1:9" ht="12.75" customHeight="1" x14ac:dyDescent="0.25">
      <c r="A19" s="331"/>
      <c r="B19" s="115"/>
      <c r="C19" s="272"/>
      <c r="D19" s="270"/>
      <c r="E19" s="301"/>
      <c r="F19" s="272"/>
      <c r="G19" s="270"/>
      <c r="H19" s="270"/>
      <c r="I19" s="271"/>
    </row>
    <row r="20" spans="1:9" ht="12.75" customHeight="1" x14ac:dyDescent="0.25">
      <c r="A20" s="331"/>
      <c r="B20" s="115"/>
      <c r="C20" s="272"/>
      <c r="D20" s="270"/>
      <c r="E20" s="301"/>
      <c r="F20" s="272"/>
      <c r="G20" s="270"/>
      <c r="H20" s="270"/>
      <c r="I20" s="271"/>
    </row>
    <row r="21" spans="1:9" ht="12.75" customHeight="1" x14ac:dyDescent="0.25">
      <c r="A21" s="331"/>
      <c r="B21" s="115"/>
      <c r="C21" s="272"/>
      <c r="D21" s="270"/>
      <c r="E21" s="301"/>
      <c r="F21" s="272"/>
      <c r="G21" s="270"/>
      <c r="H21" s="270"/>
      <c r="I21" s="271"/>
    </row>
    <row r="22" spans="1:9" ht="12.75" customHeight="1" x14ac:dyDescent="0.25">
      <c r="A22" s="332" t="s">
        <v>13</v>
      </c>
      <c r="B22" s="132"/>
      <c r="C22" s="45">
        <f>SUM(C15:C21)</f>
        <v>0</v>
      </c>
      <c r="D22" s="44">
        <f t="shared" ref="D22:I22" si="1">SUM(D15:D21)</f>
        <v>0</v>
      </c>
      <c r="E22" s="150">
        <f t="shared" si="1"/>
        <v>0</v>
      </c>
      <c r="F22" s="45">
        <f t="shared" si="1"/>
        <v>0</v>
      </c>
      <c r="G22" s="44">
        <f t="shared" si="1"/>
        <v>0</v>
      </c>
      <c r="H22" s="44">
        <f t="shared" si="1"/>
        <v>0</v>
      </c>
      <c r="I22" s="106">
        <f t="shared" si="1"/>
        <v>0</v>
      </c>
    </row>
    <row r="23" spans="1:9" ht="5.0999999999999996" customHeight="1" x14ac:dyDescent="0.25">
      <c r="A23" s="333"/>
      <c r="B23" s="114"/>
      <c r="C23" s="28"/>
      <c r="D23" s="27"/>
      <c r="E23" s="63"/>
      <c r="F23" s="28"/>
      <c r="G23" s="27"/>
      <c r="H23" s="27"/>
      <c r="I23" s="105"/>
    </row>
    <row r="24" spans="1:9" ht="12.75" customHeight="1" x14ac:dyDescent="0.25">
      <c r="A24" s="329" t="s">
        <v>11</v>
      </c>
      <c r="B24" s="114"/>
      <c r="C24" s="28"/>
      <c r="D24" s="27"/>
      <c r="E24" s="63"/>
      <c r="F24" s="28"/>
      <c r="G24" s="27"/>
      <c r="H24" s="27"/>
      <c r="I24" s="105"/>
    </row>
    <row r="25" spans="1:9" ht="25.5" x14ac:dyDescent="0.25">
      <c r="A25" s="513" t="s">
        <v>493</v>
      </c>
      <c r="B25" s="141">
        <v>3</v>
      </c>
      <c r="C25" s="305"/>
      <c r="D25" s="303"/>
      <c r="E25" s="304"/>
      <c r="F25" s="305"/>
      <c r="G25" s="303"/>
      <c r="H25" s="303"/>
      <c r="I25" s="306"/>
    </row>
    <row r="26" spans="1:9" ht="12.75" customHeight="1" x14ac:dyDescent="0.25">
      <c r="A26" s="330"/>
      <c r="B26" s="114"/>
      <c r="C26" s="272"/>
      <c r="D26" s="270"/>
      <c r="E26" s="301"/>
      <c r="F26" s="272"/>
      <c r="G26" s="270"/>
      <c r="H26" s="270"/>
      <c r="I26" s="271"/>
    </row>
    <row r="27" spans="1:9" ht="12.75" customHeight="1" x14ac:dyDescent="0.25">
      <c r="A27" s="331"/>
      <c r="B27" s="114"/>
      <c r="C27" s="272"/>
      <c r="D27" s="270"/>
      <c r="E27" s="301"/>
      <c r="F27" s="272"/>
      <c r="G27" s="270"/>
      <c r="H27" s="270"/>
      <c r="I27" s="271"/>
    </row>
    <row r="28" spans="1:9" ht="12.75" customHeight="1" x14ac:dyDescent="0.25">
      <c r="A28" s="331"/>
      <c r="B28" s="114"/>
      <c r="C28" s="272"/>
      <c r="D28" s="270"/>
      <c r="E28" s="301"/>
      <c r="F28" s="272"/>
      <c r="G28" s="270"/>
      <c r="H28" s="270"/>
      <c r="I28" s="271"/>
    </row>
    <row r="29" spans="1:9" ht="12.75" customHeight="1" x14ac:dyDescent="0.25">
      <c r="A29" s="334"/>
      <c r="B29" s="114"/>
      <c r="C29" s="272"/>
      <c r="D29" s="270"/>
      <c r="E29" s="301"/>
      <c r="F29" s="272"/>
      <c r="G29" s="270"/>
      <c r="H29" s="270"/>
      <c r="I29" s="271"/>
    </row>
    <row r="30" spans="1:9" ht="12.75" customHeight="1" x14ac:dyDescent="0.25">
      <c r="A30" s="331"/>
      <c r="B30" s="114"/>
      <c r="C30" s="272"/>
      <c r="D30" s="270"/>
      <c r="E30" s="301"/>
      <c r="F30" s="272"/>
      <c r="G30" s="270"/>
      <c r="H30" s="270"/>
      <c r="I30" s="271"/>
    </row>
    <row r="31" spans="1:9" ht="12.75" customHeight="1" x14ac:dyDescent="0.25">
      <c r="A31" s="331"/>
      <c r="B31" s="114"/>
      <c r="C31" s="272"/>
      <c r="D31" s="270"/>
      <c r="E31" s="301"/>
      <c r="F31" s="272"/>
      <c r="G31" s="270"/>
      <c r="H31" s="270"/>
      <c r="I31" s="271"/>
    </row>
    <row r="32" spans="1:9" ht="12.75" customHeight="1" x14ac:dyDescent="0.25">
      <c r="A32" s="332" t="s">
        <v>14</v>
      </c>
      <c r="B32" s="132"/>
      <c r="C32" s="45">
        <f>SUM(C25:C31)</f>
        <v>0</v>
      </c>
      <c r="D32" s="44">
        <f t="shared" ref="D32:I32" si="2">SUM(D25:D31)</f>
        <v>0</v>
      </c>
      <c r="E32" s="150">
        <f t="shared" si="2"/>
        <v>0</v>
      </c>
      <c r="F32" s="45">
        <f t="shared" si="2"/>
        <v>0</v>
      </c>
      <c r="G32" s="44">
        <f t="shared" si="2"/>
        <v>0</v>
      </c>
      <c r="H32" s="44">
        <f t="shared" si="2"/>
        <v>0</v>
      </c>
      <c r="I32" s="106">
        <f t="shared" si="2"/>
        <v>0</v>
      </c>
    </row>
    <row r="33" spans="1:9" ht="5.0999999999999996" customHeight="1" x14ac:dyDescent="0.25">
      <c r="A33" s="333"/>
      <c r="B33" s="114"/>
      <c r="C33" s="28"/>
      <c r="D33" s="27"/>
      <c r="E33" s="63"/>
      <c r="F33" s="28"/>
      <c r="G33" s="27"/>
      <c r="H33" s="27"/>
      <c r="I33" s="105"/>
    </row>
    <row r="34" spans="1:9" ht="12.75" customHeight="1" x14ac:dyDescent="0.25">
      <c r="A34" s="335" t="s">
        <v>12</v>
      </c>
      <c r="B34" s="134"/>
      <c r="C34" s="34">
        <f>C12+C22-C32</f>
        <v>0</v>
      </c>
      <c r="D34" s="33">
        <f t="shared" ref="D34:I34" si="3">D12+D22-D32</f>
        <v>0</v>
      </c>
      <c r="E34" s="51">
        <f t="shared" si="3"/>
        <v>0</v>
      </c>
      <c r="F34" s="34">
        <f t="shared" si="3"/>
        <v>0</v>
      </c>
      <c r="G34" s="33">
        <f t="shared" si="3"/>
        <v>0</v>
      </c>
      <c r="H34" s="33">
        <f t="shared" si="3"/>
        <v>0</v>
      </c>
      <c r="I34" s="133">
        <f t="shared" si="3"/>
        <v>0</v>
      </c>
    </row>
    <row r="35" spans="1:9" ht="12.75" customHeight="1" x14ac:dyDescent="0.25">
      <c r="A35" s="206" t="str">
        <f>head27a</f>
        <v>References</v>
      </c>
      <c r="B35" s="207"/>
      <c r="C35" s="207"/>
      <c r="D35" s="207"/>
      <c r="E35" s="207"/>
      <c r="F35" s="207"/>
      <c r="G35" s="207"/>
      <c r="H35" s="207"/>
      <c r="I35" s="207"/>
    </row>
    <row r="36" spans="1:9" ht="12.75" customHeight="1" x14ac:dyDescent="0.25">
      <c r="A36" s="207" t="s">
        <v>365</v>
      </c>
      <c r="B36" s="207"/>
      <c r="C36" s="207"/>
      <c r="D36" s="207"/>
      <c r="E36" s="207"/>
      <c r="F36" s="207"/>
      <c r="G36" s="207"/>
      <c r="H36" s="207"/>
      <c r="I36" s="207"/>
    </row>
    <row r="37" spans="1:9" ht="12.75" customHeight="1" x14ac:dyDescent="0.25">
      <c r="A37" s="207" t="s">
        <v>366</v>
      </c>
      <c r="B37" s="207"/>
      <c r="C37" s="207"/>
      <c r="D37" s="207"/>
      <c r="E37" s="207"/>
      <c r="F37" s="207"/>
      <c r="G37" s="207"/>
      <c r="H37" s="207"/>
      <c r="I37" s="207"/>
    </row>
    <row r="38" spans="1:9" ht="12.75" customHeight="1" x14ac:dyDescent="0.25">
      <c r="A38" s="207" t="s">
        <v>367</v>
      </c>
      <c r="B38" s="19"/>
      <c r="C38" s="19"/>
      <c r="D38" s="19"/>
      <c r="E38" s="19"/>
      <c r="F38" s="19"/>
      <c r="G38" s="19"/>
      <c r="H38" s="19"/>
      <c r="I38" s="19"/>
    </row>
    <row r="39" spans="1:9" ht="11.25" customHeight="1" x14ac:dyDescent="0.25">
      <c r="B39" s="20"/>
    </row>
    <row r="40" spans="1:9" x14ac:dyDescent="0.25">
      <c r="A40" s="71"/>
      <c r="B40" s="20"/>
      <c r="C40" s="103"/>
      <c r="D40" s="103"/>
      <c r="E40" s="103"/>
    </row>
    <row r="41" spans="1:9" ht="11.25" customHeight="1" x14ac:dyDescent="0.25">
      <c r="B41" s="20"/>
    </row>
    <row r="42" spans="1:9" ht="11.25" customHeight="1" x14ac:dyDescent="0.25">
      <c r="B42" s="20"/>
    </row>
    <row r="43" spans="1:9" ht="11.25" customHeight="1" x14ac:dyDescent="0.25">
      <c r="B43" s="20"/>
    </row>
    <row r="44" spans="1:9" ht="11.25" customHeight="1" x14ac:dyDescent="0.25">
      <c r="B44" s="20"/>
    </row>
    <row r="45" spans="1:9" ht="11.25" customHeight="1" x14ac:dyDescent="0.25">
      <c r="B45" s="20"/>
    </row>
    <row r="46" spans="1:9" ht="11.25" customHeight="1" x14ac:dyDescent="0.25">
      <c r="B46" s="20"/>
    </row>
    <row r="47" spans="1:9" ht="11.25" customHeight="1" x14ac:dyDescent="0.25">
      <c r="B47" s="20"/>
    </row>
    <row r="48" spans="1:9"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ht="11.25" customHeight="1" x14ac:dyDescent="0.25">
      <c r="B54" s="20"/>
    </row>
    <row r="55" spans="2:2" ht="11.25" customHeight="1" x14ac:dyDescent="0.25">
      <c r="B55" s="20"/>
    </row>
    <row r="56" spans="2:2" ht="11.25" customHeight="1" x14ac:dyDescent="0.25">
      <c r="B56" s="20"/>
    </row>
    <row r="57" spans="2:2" ht="11.25" customHeight="1" x14ac:dyDescent="0.25">
      <c r="B57" s="20"/>
    </row>
    <row r="58" spans="2:2" x14ac:dyDescent="0.25">
      <c r="B58" s="20"/>
    </row>
    <row r="59" spans="2:2" ht="11.25" customHeight="1"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9" ht="6" customHeight="1" x14ac:dyDescent="0.25">
      <c r="B65" s="20"/>
    </row>
    <row r="66" spans="2:9" ht="11.25" customHeight="1" x14ac:dyDescent="0.25">
      <c r="B66" s="20"/>
    </row>
    <row r="67" spans="2:9" ht="11.25" customHeight="1" x14ac:dyDescent="0.25">
      <c r="B67" s="20"/>
    </row>
    <row r="68" spans="2:9" ht="11.25" customHeight="1" x14ac:dyDescent="0.25">
      <c r="B68" s="20"/>
    </row>
    <row r="69" spans="2:9" ht="11.25" customHeight="1" x14ac:dyDescent="0.25">
      <c r="B69" s="20"/>
    </row>
    <row r="70" spans="2:9" ht="11.25" customHeight="1" x14ac:dyDescent="0.25">
      <c r="B70" s="20"/>
    </row>
    <row r="71" spans="2:9" ht="11.25" customHeight="1" x14ac:dyDescent="0.25">
      <c r="B71" s="20"/>
    </row>
    <row r="72" spans="2:9" ht="11.25" customHeight="1" x14ac:dyDescent="0.25">
      <c r="B72" s="20"/>
    </row>
    <row r="73" spans="2:9" ht="11.25" customHeight="1" x14ac:dyDescent="0.25">
      <c r="B73" s="20"/>
    </row>
    <row r="74" spans="2:9" ht="11.25" customHeight="1" x14ac:dyDescent="0.25">
      <c r="B74" s="20"/>
    </row>
    <row r="75" spans="2:9" ht="11.25" customHeight="1" x14ac:dyDescent="0.25">
      <c r="B75" s="20"/>
    </row>
    <row r="76" spans="2:9" ht="11.25" customHeight="1" x14ac:dyDescent="0.25">
      <c r="B76" s="20"/>
      <c r="I76" s="57"/>
    </row>
    <row r="77" spans="2:9" ht="11.25" customHeight="1" x14ac:dyDescent="0.25">
      <c r="B77" s="20"/>
    </row>
    <row r="78" spans="2:9" ht="11.25" customHeight="1" x14ac:dyDescent="0.25">
      <c r="B78" s="20"/>
    </row>
    <row r="79" spans="2:9" ht="11.25" customHeight="1" x14ac:dyDescent="0.25">
      <c r="B79" s="20"/>
    </row>
    <row r="80" spans="2:9" x14ac:dyDescent="0.25">
      <c r="B80" s="20"/>
    </row>
    <row r="81" spans="1:8" x14ac:dyDescent="0.25">
      <c r="B81" s="20"/>
    </row>
    <row r="82" spans="1:8" ht="11.25" customHeight="1" x14ac:dyDescent="0.25">
      <c r="B82" s="20"/>
    </row>
    <row r="83" spans="1:8" x14ac:dyDescent="0.25">
      <c r="B83" s="20"/>
    </row>
    <row r="84" spans="1:8" x14ac:dyDescent="0.25">
      <c r="B84" s="20"/>
    </row>
    <row r="85" spans="1:8" x14ac:dyDescent="0.25">
      <c r="B85" s="20"/>
    </row>
    <row r="86" spans="1:8" x14ac:dyDescent="0.25">
      <c r="B86" s="20"/>
    </row>
    <row r="87" spans="1:8" ht="11.25" customHeight="1" x14ac:dyDescent="0.25">
      <c r="B87" s="20"/>
    </row>
    <row r="88" spans="1:8" s="58" customFormat="1" ht="11.25" customHeight="1" x14ac:dyDescent="0.25">
      <c r="A88" s="20"/>
      <c r="B88" s="20"/>
      <c r="C88" s="20"/>
      <c r="D88" s="20"/>
      <c r="E88" s="20"/>
      <c r="F88" s="20"/>
      <c r="G88" s="20"/>
      <c r="H88" s="20"/>
    </row>
    <row r="89" spans="1:8" ht="11.25" customHeight="1" x14ac:dyDescent="0.25">
      <c r="B89" s="20"/>
    </row>
    <row r="90" spans="1:8" ht="11.25" customHeight="1" x14ac:dyDescent="0.25">
      <c r="B90" s="20"/>
    </row>
    <row r="91" spans="1:8" ht="11.25" customHeight="1" x14ac:dyDescent="0.25">
      <c r="B91" s="20"/>
    </row>
    <row r="92" spans="1:8" ht="11.25" customHeight="1" x14ac:dyDescent="0.25">
      <c r="B92" s="20"/>
    </row>
    <row r="93" spans="1:8" ht="11.25" customHeight="1" x14ac:dyDescent="0.25">
      <c r="B93" s="20"/>
    </row>
    <row r="94" spans="1:8" ht="11.25" customHeight="1" x14ac:dyDescent="0.25">
      <c r="B94" s="20"/>
    </row>
    <row r="95" spans="1:8" ht="11.25" customHeight="1" x14ac:dyDescent="0.25">
      <c r="B95" s="20"/>
    </row>
    <row r="96" spans="1:8" ht="11.25" customHeight="1" x14ac:dyDescent="0.25">
      <c r="B96" s="20"/>
    </row>
    <row r="97" spans="2:2" ht="11.25" customHeight="1" x14ac:dyDescent="0.25">
      <c r="B97" s="20"/>
    </row>
    <row r="98" spans="2:2" ht="11.25" customHeight="1" x14ac:dyDescent="0.25">
      <c r="B98" s="20"/>
    </row>
    <row r="99" spans="2:2" ht="11.25" customHeight="1" x14ac:dyDescent="0.25">
      <c r="B99" s="20"/>
    </row>
    <row r="100" spans="2:2" ht="11.25" customHeight="1" x14ac:dyDescent="0.25">
      <c r="B100" s="20"/>
    </row>
    <row r="101" spans="2:2" ht="11.25" customHeight="1" x14ac:dyDescent="0.25">
      <c r="B101" s="20"/>
    </row>
    <row r="102" spans="2:2" ht="11.25" customHeight="1" x14ac:dyDescent="0.25">
      <c r="B102" s="20"/>
    </row>
    <row r="103" spans="2:2" ht="11.25" customHeight="1" x14ac:dyDescent="0.25">
      <c r="B103" s="20"/>
    </row>
    <row r="104" spans="2:2" ht="11.25" customHeight="1" x14ac:dyDescent="0.25"/>
    <row r="105" spans="2:2" ht="11.25" customHeight="1" x14ac:dyDescent="0.25"/>
    <row r="106" spans="2:2" ht="11.25" customHeight="1" x14ac:dyDescent="0.25"/>
    <row r="107" spans="2:2" ht="11.25" customHeight="1" x14ac:dyDescent="0.25"/>
    <row r="108" spans="2:2" ht="11.25" customHeight="1" x14ac:dyDescent="0.25"/>
    <row r="109" spans="2:2" ht="11.25" customHeight="1" x14ac:dyDescent="0.25"/>
    <row r="110" spans="2:2" ht="11.25" customHeight="1" x14ac:dyDescent="0.25"/>
    <row r="111" spans="2:2" ht="11.25" customHeight="1" x14ac:dyDescent="0.25"/>
  </sheetData>
  <sheetProtection sheet="1" objects="1" scenarios="1"/>
  <mergeCells count="10">
    <mergeCell ref="A2:A3"/>
    <mergeCell ref="B2:B3"/>
    <mergeCell ref="C3:C4"/>
    <mergeCell ref="D3:D4"/>
    <mergeCell ref="F2:I2"/>
    <mergeCell ref="E3:E4"/>
    <mergeCell ref="I3:I4"/>
    <mergeCell ref="F3:F4"/>
    <mergeCell ref="G3:G4"/>
    <mergeCell ref="H3:H4"/>
  </mergeCells>
  <phoneticPr fontId="2" type="noConversion"/>
  <printOptions horizontalCentered="1"/>
  <pageMargins left="0.35433070866141736" right="0.23622047244094491" top="0.77" bottom="0.59" header="0.51181102362204722" footer="0.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9">
    <tabColor rgb="FFCCFFCC"/>
    <pageSetUpPr fitToPage="1"/>
  </sheetPr>
  <dimension ref="A1:O119"/>
  <sheetViews>
    <sheetView showGridLines="0" view="pageBreakPreview" zoomScale="130" zoomScaleNormal="100" zoomScaleSheetLayoutView="130" workbookViewId="0">
      <pane xSplit="2" ySplit="4" topLeftCell="G38" activePane="bottomRight" state="frozen"/>
      <selection activeCell="M29" sqref="M29"/>
      <selection pane="topRight" activeCell="M29" sqref="M29"/>
      <selection pane="bottomLeft" activeCell="M29" sqref="M29"/>
      <selection pane="bottomRight" activeCell="O6" sqref="O6"/>
    </sheetView>
  </sheetViews>
  <sheetFormatPr defaultRowHeight="12.75" x14ac:dyDescent="0.25"/>
  <cols>
    <col min="1" max="1" width="25.7109375" style="20" customWidth="1"/>
    <col min="2" max="2" width="3.140625" style="43" customWidth="1"/>
    <col min="3" max="3" width="25.7109375" style="20" customWidth="1"/>
    <col min="4" max="4" width="6.140625" style="20" bestFit="1" customWidth="1"/>
    <col min="5" max="5" width="4.42578125" style="20" customWidth="1"/>
    <col min="6" max="7" width="20.7109375" style="20" customWidth="1"/>
    <col min="8" max="13" width="8.7109375" style="20" customWidth="1"/>
    <col min="14" max="14" width="15.7109375" style="20" customWidth="1"/>
    <col min="15" max="15" width="8.7109375" style="20" customWidth="1"/>
    <col min="16" max="16" width="9.85546875" style="20" customWidth="1"/>
    <col min="17" max="17" width="9.5703125" style="20" customWidth="1"/>
    <col min="18" max="18" width="9.85546875" style="20" customWidth="1"/>
    <col min="19" max="21" width="9.5703125" style="20" customWidth="1"/>
    <col min="22" max="22" width="9.85546875" style="20" customWidth="1"/>
    <col min="23" max="25" width="9.5703125" style="20" customWidth="1"/>
    <col min="26" max="27" width="9.85546875" style="20" customWidth="1"/>
    <col min="28" max="16384" width="9.140625" style="20"/>
  </cols>
  <sheetData>
    <row r="1" spans="1:15" ht="13.5" x14ac:dyDescent="0.25">
      <c r="A1" s="112" t="str">
        <f>_MEB13</f>
        <v>GREATER TZANEEN ECONOMIC DEVELOPMENT AGENCY - Supporting Table SD9 Detailed capital budget</v>
      </c>
    </row>
    <row r="2" spans="1:15" ht="38.25" customHeight="1" x14ac:dyDescent="0.25">
      <c r="A2" s="644" t="s">
        <v>211</v>
      </c>
      <c r="B2" s="644" t="str">
        <f>head27</f>
        <v>Ref</v>
      </c>
      <c r="C2" s="656" t="s">
        <v>853</v>
      </c>
      <c r="D2" s="659" t="s">
        <v>177</v>
      </c>
      <c r="E2" s="659" t="s">
        <v>852</v>
      </c>
      <c r="F2" s="660" t="s">
        <v>854</v>
      </c>
      <c r="G2" s="662" t="s">
        <v>855</v>
      </c>
      <c r="H2" s="644" t="s">
        <v>407</v>
      </c>
      <c r="I2" s="622" t="str">
        <f>Head2A</f>
        <v>2017/18</v>
      </c>
      <c r="J2" s="624"/>
      <c r="K2" s="622" t="str">
        <f>Head3a</f>
        <v>Medium Term Revenue and Expenditure Framework</v>
      </c>
      <c r="L2" s="623"/>
      <c r="M2" s="624"/>
      <c r="N2" s="131" t="s">
        <v>179</v>
      </c>
      <c r="O2" s="130"/>
    </row>
    <row r="3" spans="1:15" ht="12.75" customHeight="1" x14ac:dyDescent="0.25">
      <c r="A3" s="645"/>
      <c r="B3" s="645"/>
      <c r="C3" s="651"/>
      <c r="D3" s="652"/>
      <c r="E3" s="652"/>
      <c r="F3" s="661"/>
      <c r="G3" s="655"/>
      <c r="H3" s="645"/>
      <c r="I3" s="651" t="str">
        <f>Head5</f>
        <v>Audited Outcome</v>
      </c>
      <c r="J3" s="657" t="s">
        <v>454</v>
      </c>
      <c r="K3" s="651" t="str">
        <f>Head9</f>
        <v>Budget Year 2018/19</v>
      </c>
      <c r="L3" s="652" t="str">
        <f>Head10</f>
        <v>Budget Year +1 2019/20</v>
      </c>
      <c r="M3" s="657" t="str">
        <f>Head11</f>
        <v>Budget Year +2 2020/21</v>
      </c>
      <c r="N3" s="651" t="s">
        <v>180</v>
      </c>
      <c r="O3" s="655" t="s">
        <v>178</v>
      </c>
    </row>
    <row r="4" spans="1:15" ht="24.75" customHeight="1" x14ac:dyDescent="0.25">
      <c r="A4" s="208" t="s">
        <v>206</v>
      </c>
      <c r="B4" s="209"/>
      <c r="C4" s="638"/>
      <c r="D4" s="640"/>
      <c r="E4" s="640"/>
      <c r="F4" s="631"/>
      <c r="G4" s="636"/>
      <c r="H4" s="663"/>
      <c r="I4" s="638"/>
      <c r="J4" s="658"/>
      <c r="K4" s="638"/>
      <c r="L4" s="640"/>
      <c r="M4" s="658"/>
      <c r="N4" s="638"/>
      <c r="O4" s="636"/>
    </row>
    <row r="5" spans="1:15" ht="12.75" customHeight="1" x14ac:dyDescent="0.25">
      <c r="A5" s="56"/>
      <c r="B5" s="115"/>
      <c r="C5" s="215"/>
      <c r="D5" s="216"/>
      <c r="E5" s="216"/>
      <c r="F5" s="217"/>
      <c r="G5" s="210"/>
      <c r="H5" s="23"/>
      <c r="I5" s="135"/>
      <c r="J5" s="137"/>
      <c r="K5" s="135"/>
      <c r="L5" s="136"/>
      <c r="M5" s="137"/>
      <c r="N5" s="135"/>
      <c r="O5" s="137"/>
    </row>
    <row r="6" spans="1:15" ht="22.5" customHeight="1" x14ac:dyDescent="0.25">
      <c r="A6" s="521" t="s">
        <v>495</v>
      </c>
      <c r="B6" s="317"/>
      <c r="C6" s="307"/>
      <c r="D6" s="308"/>
      <c r="E6" s="308"/>
      <c r="F6" s="309"/>
      <c r="G6" s="310"/>
      <c r="H6" s="520"/>
      <c r="I6" s="272"/>
      <c r="J6" s="271"/>
      <c r="K6" s="272"/>
      <c r="L6" s="270"/>
      <c r="M6" s="271"/>
      <c r="N6" s="307"/>
      <c r="O6" s="311"/>
    </row>
    <row r="7" spans="1:15" ht="12.75" customHeight="1" x14ac:dyDescent="0.25">
      <c r="A7" s="514" t="s">
        <v>494</v>
      </c>
      <c r="B7" s="317"/>
      <c r="C7" s="307"/>
      <c r="D7" s="308"/>
      <c r="E7" s="308"/>
      <c r="F7" s="309"/>
      <c r="G7" s="310"/>
      <c r="H7" s="520"/>
      <c r="I7" s="272"/>
      <c r="J7" s="271"/>
      <c r="K7" s="272"/>
      <c r="L7" s="270"/>
      <c r="M7" s="271"/>
      <c r="N7" s="300"/>
      <c r="O7" s="299"/>
    </row>
    <row r="8" spans="1:15" ht="12.75" customHeight="1" x14ac:dyDescent="0.25">
      <c r="A8" s="312"/>
      <c r="B8" s="317"/>
      <c r="C8" s="307"/>
      <c r="D8" s="308"/>
      <c r="E8" s="308"/>
      <c r="F8" s="309"/>
      <c r="G8" s="310"/>
      <c r="H8" s="520"/>
      <c r="I8" s="272"/>
      <c r="J8" s="271"/>
      <c r="K8" s="272"/>
      <c r="L8" s="270"/>
      <c r="M8" s="271"/>
      <c r="N8" s="300"/>
      <c r="O8" s="299"/>
    </row>
    <row r="9" spans="1:15" ht="12.75" customHeight="1" x14ac:dyDescent="0.25">
      <c r="A9" s="297"/>
      <c r="B9" s="317"/>
      <c r="C9" s="300"/>
      <c r="D9" s="313"/>
      <c r="E9" s="313"/>
      <c r="F9" s="298"/>
      <c r="G9" s="299"/>
      <c r="H9" s="520"/>
      <c r="I9" s="272"/>
      <c r="J9" s="271"/>
      <c r="K9" s="272"/>
      <c r="L9" s="270"/>
      <c r="M9" s="271"/>
      <c r="N9" s="300"/>
      <c r="O9" s="299"/>
    </row>
    <row r="10" spans="1:15" ht="12.75" customHeight="1" x14ac:dyDescent="0.25">
      <c r="A10" s="297"/>
      <c r="B10" s="317"/>
      <c r="C10" s="300"/>
      <c r="D10" s="313"/>
      <c r="E10" s="313"/>
      <c r="F10" s="298"/>
      <c r="G10" s="299"/>
      <c r="H10" s="520"/>
      <c r="I10" s="272"/>
      <c r="J10" s="271"/>
      <c r="K10" s="272"/>
      <c r="L10" s="270"/>
      <c r="M10" s="271"/>
      <c r="N10" s="300"/>
      <c r="O10" s="299"/>
    </row>
    <row r="11" spans="1:15" ht="12.75" customHeight="1" x14ac:dyDescent="0.25">
      <c r="A11" s="297"/>
      <c r="B11" s="317"/>
      <c r="C11" s="300"/>
      <c r="D11" s="313"/>
      <c r="E11" s="313"/>
      <c r="F11" s="298"/>
      <c r="G11" s="299"/>
      <c r="H11" s="520"/>
      <c r="I11" s="272"/>
      <c r="J11" s="271"/>
      <c r="K11" s="272"/>
      <c r="L11" s="270"/>
      <c r="M11" s="271"/>
      <c r="N11" s="300"/>
      <c r="O11" s="299"/>
    </row>
    <row r="12" spans="1:15" ht="12.75" customHeight="1" x14ac:dyDescent="0.25">
      <c r="A12" s="314"/>
      <c r="B12" s="317"/>
      <c r="C12" s="300"/>
      <c r="D12" s="313"/>
      <c r="E12" s="313"/>
      <c r="F12" s="298"/>
      <c r="G12" s="299"/>
      <c r="H12" s="520"/>
      <c r="I12" s="272"/>
      <c r="J12" s="271"/>
      <c r="K12" s="272"/>
      <c r="L12" s="270"/>
      <c r="M12" s="271"/>
      <c r="N12" s="300"/>
      <c r="O12" s="299"/>
    </row>
    <row r="13" spans="1:15" ht="12.75" customHeight="1" x14ac:dyDescent="0.25">
      <c r="A13" s="297"/>
      <c r="B13" s="317"/>
      <c r="C13" s="300"/>
      <c r="D13" s="313"/>
      <c r="E13" s="313"/>
      <c r="F13" s="298"/>
      <c r="G13" s="299"/>
      <c r="H13" s="520"/>
      <c r="I13" s="272"/>
      <c r="J13" s="271"/>
      <c r="K13" s="272"/>
      <c r="L13" s="270"/>
      <c r="M13" s="271"/>
      <c r="N13" s="300"/>
      <c r="O13" s="299"/>
    </row>
    <row r="14" spans="1:15" ht="12.75" customHeight="1" x14ac:dyDescent="0.25">
      <c r="A14" s="297"/>
      <c r="B14" s="317"/>
      <c r="C14" s="300"/>
      <c r="D14" s="313"/>
      <c r="E14" s="313"/>
      <c r="F14" s="298"/>
      <c r="G14" s="299"/>
      <c r="H14" s="520"/>
      <c r="I14" s="272"/>
      <c r="J14" s="271"/>
      <c r="K14" s="272"/>
      <c r="L14" s="270"/>
      <c r="M14" s="271"/>
      <c r="N14" s="300"/>
      <c r="O14" s="299"/>
    </row>
    <row r="15" spans="1:15" ht="12.75" customHeight="1" x14ac:dyDescent="0.25">
      <c r="A15" s="297"/>
      <c r="B15" s="317"/>
      <c r="C15" s="300"/>
      <c r="D15" s="313"/>
      <c r="E15" s="313"/>
      <c r="F15" s="298"/>
      <c r="G15" s="299"/>
      <c r="H15" s="520"/>
      <c r="I15" s="272"/>
      <c r="J15" s="271"/>
      <c r="K15" s="272"/>
      <c r="L15" s="270"/>
      <c r="M15" s="271"/>
      <c r="N15" s="300"/>
      <c r="O15" s="299"/>
    </row>
    <row r="16" spans="1:15" ht="12.75" customHeight="1" x14ac:dyDescent="0.25">
      <c r="A16" s="297"/>
      <c r="B16" s="317"/>
      <c r="C16" s="300"/>
      <c r="D16" s="313"/>
      <c r="E16" s="313"/>
      <c r="F16" s="298"/>
      <c r="G16" s="299"/>
      <c r="H16" s="520"/>
      <c r="I16" s="272"/>
      <c r="J16" s="271"/>
      <c r="K16" s="272"/>
      <c r="L16" s="270"/>
      <c r="M16" s="271"/>
      <c r="N16" s="300"/>
      <c r="O16" s="299"/>
    </row>
    <row r="17" spans="1:15" ht="12.75" customHeight="1" x14ac:dyDescent="0.25">
      <c r="A17" s="314"/>
      <c r="B17" s="317"/>
      <c r="C17" s="300"/>
      <c r="D17" s="313"/>
      <c r="E17" s="313"/>
      <c r="F17" s="298"/>
      <c r="G17" s="299"/>
      <c r="H17" s="520"/>
      <c r="I17" s="272"/>
      <c r="J17" s="271"/>
      <c r="K17" s="272"/>
      <c r="L17" s="270"/>
      <c r="M17" s="271"/>
      <c r="N17" s="300"/>
      <c r="O17" s="299"/>
    </row>
    <row r="18" spans="1:15" ht="12.75" customHeight="1" x14ac:dyDescent="0.25">
      <c r="A18" s="297"/>
      <c r="B18" s="317"/>
      <c r="C18" s="300"/>
      <c r="D18" s="313"/>
      <c r="E18" s="313"/>
      <c r="F18" s="298"/>
      <c r="G18" s="299"/>
      <c r="H18" s="520"/>
      <c r="I18" s="272"/>
      <c r="J18" s="271"/>
      <c r="K18" s="272"/>
      <c r="L18" s="270"/>
      <c r="M18" s="271"/>
      <c r="N18" s="300"/>
      <c r="O18" s="299"/>
    </row>
    <row r="19" spans="1:15" ht="12.75" customHeight="1" x14ac:dyDescent="0.25">
      <c r="A19" s="297"/>
      <c r="B19" s="317"/>
      <c r="C19" s="300"/>
      <c r="D19" s="313"/>
      <c r="E19" s="313"/>
      <c r="F19" s="298"/>
      <c r="G19" s="299"/>
      <c r="H19" s="520"/>
      <c r="I19" s="272"/>
      <c r="J19" s="271"/>
      <c r="K19" s="272"/>
      <c r="L19" s="270"/>
      <c r="M19" s="271"/>
      <c r="N19" s="300"/>
      <c r="O19" s="299"/>
    </row>
    <row r="20" spans="1:15" ht="12.75" customHeight="1" x14ac:dyDescent="0.25">
      <c r="A20" s="314"/>
      <c r="B20" s="317"/>
      <c r="C20" s="300"/>
      <c r="D20" s="313"/>
      <c r="E20" s="313"/>
      <c r="F20" s="298"/>
      <c r="G20" s="299"/>
      <c r="H20" s="520"/>
      <c r="I20" s="272"/>
      <c r="J20" s="271"/>
      <c r="K20" s="272"/>
      <c r="L20" s="270"/>
      <c r="M20" s="271"/>
      <c r="N20" s="300"/>
      <c r="O20" s="299"/>
    </row>
    <row r="21" spans="1:15" ht="12.75" customHeight="1" x14ac:dyDescent="0.25">
      <c r="A21" s="297"/>
      <c r="B21" s="317"/>
      <c r="C21" s="300"/>
      <c r="D21" s="313"/>
      <c r="E21" s="313"/>
      <c r="F21" s="298"/>
      <c r="G21" s="299"/>
      <c r="H21" s="520"/>
      <c r="I21" s="272"/>
      <c r="J21" s="271"/>
      <c r="K21" s="272"/>
      <c r="L21" s="270"/>
      <c r="M21" s="271"/>
      <c r="N21" s="300"/>
      <c r="O21" s="299"/>
    </row>
    <row r="22" spans="1:15" ht="12.75" customHeight="1" x14ac:dyDescent="0.25">
      <c r="A22" s="297"/>
      <c r="B22" s="317"/>
      <c r="C22" s="300"/>
      <c r="D22" s="313"/>
      <c r="E22" s="313"/>
      <c r="F22" s="298"/>
      <c r="G22" s="299"/>
      <c r="H22" s="520"/>
      <c r="I22" s="272"/>
      <c r="J22" s="271"/>
      <c r="K22" s="272"/>
      <c r="L22" s="270"/>
      <c r="M22" s="271"/>
      <c r="N22" s="300"/>
      <c r="O22" s="299"/>
    </row>
    <row r="23" spans="1:15" ht="12.75" customHeight="1" x14ac:dyDescent="0.25">
      <c r="A23" s="297"/>
      <c r="B23" s="317"/>
      <c r="C23" s="300"/>
      <c r="D23" s="298"/>
      <c r="E23" s="298"/>
      <c r="F23" s="298"/>
      <c r="G23" s="299"/>
      <c r="H23" s="520"/>
      <c r="I23" s="272"/>
      <c r="J23" s="271"/>
      <c r="K23" s="272"/>
      <c r="L23" s="270"/>
      <c r="M23" s="271"/>
      <c r="N23" s="300"/>
      <c r="O23" s="299"/>
    </row>
    <row r="24" spans="1:15" ht="12.75" customHeight="1" x14ac:dyDescent="0.25">
      <c r="A24" s="32" t="s">
        <v>116</v>
      </c>
      <c r="B24" s="134">
        <v>1</v>
      </c>
      <c r="C24" s="522">
        <f>SUM(C7:C23)</f>
        <v>0</v>
      </c>
      <c r="D24" s="523"/>
      <c r="E24" s="523"/>
      <c r="F24" s="523"/>
      <c r="G24" s="524"/>
      <c r="H24" s="531">
        <f t="shared" ref="H24:M24" si="0">SUM(H6:H23)</f>
        <v>0</v>
      </c>
      <c r="I24" s="265">
        <f t="shared" si="0"/>
        <v>0</v>
      </c>
      <c r="J24" s="264">
        <f t="shared" si="0"/>
        <v>0</v>
      </c>
      <c r="K24" s="265">
        <f t="shared" si="0"/>
        <v>0</v>
      </c>
      <c r="L24" s="263">
        <f t="shared" si="0"/>
        <v>0</v>
      </c>
      <c r="M24" s="264">
        <f t="shared" si="0"/>
        <v>0</v>
      </c>
      <c r="N24" s="522">
        <f>SUM(N7:N23)</f>
        <v>0</v>
      </c>
      <c r="O24" s="524">
        <f>SUM(O7:O23)</f>
        <v>0</v>
      </c>
    </row>
    <row r="25" spans="1:15" ht="12.75" customHeight="1" x14ac:dyDescent="0.25">
      <c r="A25" s="74" t="str">
        <f>head27a</f>
        <v>References</v>
      </c>
      <c r="B25" s="42"/>
      <c r="C25" s="42"/>
      <c r="D25" s="42"/>
      <c r="E25" s="42"/>
      <c r="F25" s="42"/>
      <c r="G25" s="42"/>
      <c r="H25" s="42"/>
      <c r="I25" s="42"/>
      <c r="J25" s="42"/>
      <c r="K25" s="42"/>
      <c r="L25" s="42"/>
      <c r="M25" s="42"/>
      <c r="N25" s="42"/>
      <c r="O25" s="42"/>
    </row>
    <row r="26" spans="1:15" ht="12.75" customHeight="1" x14ac:dyDescent="0.25">
      <c r="A26" s="47" t="s">
        <v>452</v>
      </c>
      <c r="B26" s="42"/>
      <c r="C26" s="42"/>
      <c r="D26" s="42"/>
      <c r="E26" s="42"/>
      <c r="F26" s="42"/>
      <c r="G26" s="42"/>
      <c r="H26" s="42"/>
      <c r="I26" s="42"/>
      <c r="J26" s="42"/>
      <c r="K26" s="42"/>
      <c r="L26" s="42"/>
      <c r="M26" s="42"/>
      <c r="N26" s="42"/>
      <c r="O26" s="42"/>
    </row>
    <row r="27" spans="1:15" ht="12.75" customHeight="1" x14ac:dyDescent="0.25">
      <c r="A27" s="47" t="s">
        <v>453</v>
      </c>
      <c r="B27" s="42"/>
      <c r="C27" s="42"/>
      <c r="D27" s="42"/>
      <c r="E27" s="42"/>
      <c r="F27" s="42"/>
      <c r="G27" s="42"/>
      <c r="H27" s="42"/>
      <c r="I27" s="42"/>
      <c r="J27" s="42"/>
      <c r="K27" s="42"/>
      <c r="L27" s="42"/>
      <c r="M27" s="42"/>
      <c r="N27" s="42"/>
      <c r="O27" s="42"/>
    </row>
    <row r="28" spans="1:15" ht="12.75" customHeight="1" x14ac:dyDescent="0.25">
      <c r="A28" s="47" t="s">
        <v>250</v>
      </c>
      <c r="B28" s="42"/>
      <c r="C28" s="42"/>
      <c r="D28" s="42"/>
      <c r="E28" s="42"/>
      <c r="F28" s="42"/>
      <c r="G28" s="42"/>
      <c r="H28" s="42"/>
      <c r="I28" s="42"/>
      <c r="J28" s="42"/>
      <c r="K28" s="42"/>
      <c r="L28" s="42"/>
      <c r="M28" s="42"/>
      <c r="N28" s="42"/>
      <c r="O28" s="42"/>
    </row>
    <row r="29" spans="1:15" ht="11.25" customHeight="1" x14ac:dyDescent="0.25">
      <c r="B29" s="20"/>
    </row>
    <row r="30" spans="1:15" x14ac:dyDescent="0.25">
      <c r="B30" s="20"/>
    </row>
    <row r="31" spans="1:15" ht="11.25" customHeight="1" x14ac:dyDescent="0.25">
      <c r="B31" s="20"/>
    </row>
    <row r="32" spans="1:15" ht="11.25" customHeight="1" x14ac:dyDescent="0.25">
      <c r="B32" s="20"/>
    </row>
    <row r="33" spans="2:2" ht="11.25" customHeight="1" x14ac:dyDescent="0.25">
      <c r="B33" s="20"/>
    </row>
    <row r="34" spans="2:2" ht="11.25" customHeight="1" x14ac:dyDescent="0.25">
      <c r="B34" s="20"/>
    </row>
    <row r="35" spans="2:2" ht="11.25" customHeight="1" x14ac:dyDescent="0.25">
      <c r="B35" s="20"/>
    </row>
    <row r="36" spans="2:2" ht="11.25" customHeight="1" x14ac:dyDescent="0.25">
      <c r="B36" s="20"/>
    </row>
    <row r="37" spans="2:2" ht="11.25" customHeight="1" x14ac:dyDescent="0.25">
      <c r="B37" s="20"/>
    </row>
    <row r="38" spans="2:2" ht="11.25" customHeight="1" x14ac:dyDescent="0.25">
      <c r="B38" s="20"/>
    </row>
    <row r="39" spans="2:2" ht="11.25" customHeight="1" x14ac:dyDescent="0.25">
      <c r="B39" s="20"/>
    </row>
    <row r="40" spans="2:2" ht="11.25" customHeight="1" x14ac:dyDescent="0.25">
      <c r="B40" s="20"/>
    </row>
    <row r="41" spans="2:2" ht="11.25" customHeight="1" x14ac:dyDescent="0.25">
      <c r="B41" s="20"/>
    </row>
    <row r="42" spans="2:2" ht="11.25" customHeight="1" x14ac:dyDescent="0.25">
      <c r="B42" s="20"/>
    </row>
    <row r="43" spans="2:2" ht="11.25" customHeight="1" x14ac:dyDescent="0.25">
      <c r="B43" s="20"/>
    </row>
    <row r="44" spans="2:2" ht="11.25" customHeight="1" x14ac:dyDescent="0.25">
      <c r="B44" s="20"/>
    </row>
    <row r="45" spans="2:2" ht="11.25" customHeight="1" x14ac:dyDescent="0.25">
      <c r="B45" s="20"/>
    </row>
    <row r="46" spans="2:2" ht="11.25" customHeight="1" x14ac:dyDescent="0.25">
      <c r="B46" s="20"/>
    </row>
    <row r="47" spans="2:2" ht="11.25" customHeight="1" x14ac:dyDescent="0.25">
      <c r="B47" s="20"/>
    </row>
    <row r="48" spans="2:2"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x14ac:dyDescent="0.25">
      <c r="B54" s="20"/>
    </row>
    <row r="55" spans="2:2" x14ac:dyDescent="0.25">
      <c r="B55" s="20"/>
    </row>
    <row r="56" spans="2:2" ht="11.25" customHeight="1" x14ac:dyDescent="0.25">
      <c r="B56" s="20"/>
    </row>
    <row r="57" spans="2:2" ht="22.5" customHeight="1" x14ac:dyDescent="0.25">
      <c r="B57" s="20"/>
    </row>
    <row r="58" spans="2:2" x14ac:dyDescent="0.25">
      <c r="B58" s="20"/>
    </row>
    <row r="59" spans="2:2"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2" ht="11.25" customHeight="1" x14ac:dyDescent="0.25">
      <c r="B65" s="20"/>
    </row>
    <row r="66" spans="2:2" ht="11.25" customHeight="1" x14ac:dyDescent="0.25">
      <c r="B66" s="20"/>
    </row>
    <row r="67" spans="2:2" ht="11.25" customHeight="1" x14ac:dyDescent="0.25">
      <c r="B67" s="20"/>
    </row>
    <row r="68" spans="2:2" ht="11.25" customHeight="1" x14ac:dyDescent="0.25">
      <c r="B68" s="20"/>
    </row>
    <row r="69" spans="2:2" ht="11.25" customHeight="1" x14ac:dyDescent="0.25">
      <c r="B69" s="20"/>
    </row>
    <row r="70" spans="2:2" ht="11.25" customHeight="1" x14ac:dyDescent="0.25">
      <c r="B70" s="20"/>
    </row>
    <row r="71" spans="2:2" ht="11.25" customHeight="1" x14ac:dyDescent="0.25">
      <c r="B71" s="20"/>
    </row>
    <row r="72" spans="2:2" ht="11.25" customHeight="1" x14ac:dyDescent="0.25">
      <c r="B72" s="20"/>
    </row>
    <row r="73" spans="2:2" ht="11.25" customHeight="1" x14ac:dyDescent="0.25">
      <c r="B73" s="20"/>
    </row>
    <row r="74" spans="2:2" ht="11.25" customHeight="1" x14ac:dyDescent="0.25">
      <c r="B74" s="20"/>
    </row>
    <row r="75" spans="2:2" ht="11.25" customHeight="1" x14ac:dyDescent="0.25">
      <c r="B75" s="20"/>
    </row>
    <row r="76" spans="2:2" ht="11.25" customHeight="1" x14ac:dyDescent="0.25">
      <c r="B76" s="20"/>
    </row>
    <row r="77" spans="2:2" ht="11.25" customHeight="1" x14ac:dyDescent="0.25">
      <c r="B77" s="20"/>
    </row>
    <row r="78" spans="2:2" ht="11.25" customHeight="1" x14ac:dyDescent="0.25">
      <c r="B78" s="20"/>
    </row>
    <row r="79" spans="2:2" ht="11.25" customHeight="1" x14ac:dyDescent="0.25">
      <c r="B79" s="20"/>
    </row>
    <row r="80" spans="2:2" ht="11.25" customHeight="1" x14ac:dyDescent="0.25">
      <c r="B80" s="20"/>
    </row>
    <row r="81" spans="2:2" ht="11.25" customHeight="1" x14ac:dyDescent="0.25">
      <c r="B81" s="20"/>
    </row>
    <row r="82" spans="2:2" ht="11.25" customHeight="1" x14ac:dyDescent="0.25">
      <c r="B82" s="20"/>
    </row>
    <row r="83" spans="2:2" ht="11.25" customHeight="1" x14ac:dyDescent="0.25">
      <c r="B83" s="20"/>
    </row>
    <row r="84" spans="2:2" ht="11.25" customHeight="1" x14ac:dyDescent="0.25">
      <c r="B84" s="20"/>
    </row>
    <row r="85" spans="2:2" ht="11.25" customHeight="1" x14ac:dyDescent="0.25">
      <c r="B85" s="20"/>
    </row>
    <row r="86" spans="2:2" ht="11.25" customHeight="1" x14ac:dyDescent="0.25">
      <c r="B86" s="20"/>
    </row>
    <row r="87" spans="2:2" ht="11.25" customHeight="1" x14ac:dyDescent="0.25">
      <c r="B87" s="20"/>
    </row>
    <row r="88" spans="2:2" ht="11.25" customHeight="1" x14ac:dyDescent="0.25">
      <c r="B88" s="20"/>
    </row>
    <row r="89" spans="2:2" ht="11.25" customHeight="1" x14ac:dyDescent="0.25">
      <c r="B89" s="20"/>
    </row>
    <row r="90" spans="2:2" ht="11.25" customHeight="1" x14ac:dyDescent="0.25">
      <c r="B90" s="20"/>
    </row>
    <row r="91" spans="2:2" ht="11.25" customHeight="1" x14ac:dyDescent="0.25">
      <c r="B91" s="20"/>
    </row>
    <row r="92" spans="2:2" ht="11.25" customHeight="1" x14ac:dyDescent="0.25">
      <c r="B92" s="20"/>
    </row>
    <row r="93" spans="2:2" ht="11.25" customHeight="1" x14ac:dyDescent="0.25">
      <c r="B93" s="20"/>
    </row>
    <row r="94" spans="2:2" ht="11.25" customHeight="1" x14ac:dyDescent="0.25">
      <c r="B94" s="20"/>
    </row>
    <row r="95" spans="2:2" ht="11.25" customHeight="1" x14ac:dyDescent="0.25">
      <c r="B95" s="20"/>
    </row>
    <row r="96" spans="2:2" ht="11.25" customHeight="1"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sheetData>
  <sheetProtection sheet="1" objects="1" scenarios="1"/>
  <mergeCells count="17">
    <mergeCell ref="N3:N4"/>
    <mergeCell ref="O3:O4"/>
    <mergeCell ref="D2:D4"/>
    <mergeCell ref="I3:I4"/>
    <mergeCell ref="J3:J4"/>
    <mergeCell ref="K3:K4"/>
    <mergeCell ref="F2:F4"/>
    <mergeCell ref="G2:G4"/>
    <mergeCell ref="H2:H4"/>
    <mergeCell ref="K2:M2"/>
    <mergeCell ref="C2:C4"/>
    <mergeCell ref="A2:A3"/>
    <mergeCell ref="L3:L4"/>
    <mergeCell ref="M3:M4"/>
    <mergeCell ref="B2:B3"/>
    <mergeCell ref="I2:J2"/>
    <mergeCell ref="E2:E4"/>
  </mergeCells>
  <phoneticPr fontId="2" type="noConversion"/>
  <printOptions horizontalCentered="1"/>
  <pageMargins left="0.35433070866141736" right="0.2" top="0.8" bottom="0.57999999999999996" header="0.51181102362204722" footer="0.4"/>
  <pageSetup paperSize="9" scale="7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6">
    <tabColor rgb="FFCCFFCC"/>
    <pageSetUpPr fitToPage="1"/>
  </sheetPr>
  <dimension ref="A1:IV62"/>
  <sheetViews>
    <sheetView showGridLines="0" view="pageBreakPreview" zoomScale="170" zoomScaleNormal="100" zoomScaleSheetLayoutView="170" workbookViewId="0">
      <pane xSplit="2" ySplit="4" topLeftCell="C20" activePane="bottomRight" state="frozen"/>
      <selection activeCell="M29" sqref="M29"/>
      <selection pane="topRight" activeCell="M29" sqref="M29"/>
      <selection pane="bottomLeft" activeCell="M29" sqref="M29"/>
      <selection pane="bottomRight" activeCell="M29" sqref="M29"/>
    </sheetView>
  </sheetViews>
  <sheetFormatPr defaultRowHeight="12.75" x14ac:dyDescent="0.25"/>
  <cols>
    <col min="1" max="1" width="35.7109375" style="20" customWidth="1"/>
    <col min="2" max="2" width="3.140625" style="43" customWidth="1"/>
    <col min="3" max="15" width="8.7109375" style="20" customWidth="1"/>
    <col min="16" max="17" width="9.5703125" style="20" customWidth="1"/>
    <col min="18" max="19" width="9.85546875" style="20" customWidth="1"/>
    <col min="20" max="16384" width="9.140625" style="20"/>
  </cols>
  <sheetData>
    <row r="1" spans="1:256" ht="13.5" x14ac:dyDescent="0.25">
      <c r="A1" s="112" t="str">
        <f>_MEB10</f>
        <v>GREATER TZANEEN ECONOMIC DEVELOPMENT AGENCY - Supporting Table SD10 Long term contracts</v>
      </c>
      <c r="D1" s="43"/>
    </row>
    <row r="2" spans="1:256" ht="38.25" x14ac:dyDescent="0.25">
      <c r="A2" s="641" t="str">
        <f>desc</f>
        <v>Description</v>
      </c>
      <c r="B2" s="632" t="str">
        <f>head27</f>
        <v>Ref</v>
      </c>
      <c r="C2" s="131" t="s">
        <v>119</v>
      </c>
      <c r="D2" s="202" t="str">
        <f>Head2</f>
        <v>Current Year 2017/18</v>
      </c>
      <c r="E2" s="622" t="str">
        <f>Head3a</f>
        <v>Medium Term Revenue and Expenditure Framework</v>
      </c>
      <c r="F2" s="623"/>
      <c r="G2" s="624"/>
      <c r="H2" s="139" t="str">
        <f>Head12</f>
        <v>Forecast 2021/22</v>
      </c>
      <c r="I2" s="129" t="str">
        <f>Head13</f>
        <v>Forecast 2022/23</v>
      </c>
      <c r="J2" s="129" t="str">
        <f>Head14</f>
        <v>Forecast 2023/24</v>
      </c>
      <c r="K2" s="129" t="str">
        <f>Head15</f>
        <v>Forecast 2024/25</v>
      </c>
      <c r="L2" s="129" t="str">
        <f>Head16</f>
        <v>Forecast 2025/26</v>
      </c>
      <c r="M2" s="129" t="str">
        <f>Head17</f>
        <v>Forecast 2026/27</v>
      </c>
      <c r="N2" s="202" t="str">
        <f>Head18</f>
        <v>Forecast 2027/28</v>
      </c>
      <c r="O2" s="100" t="s">
        <v>79</v>
      </c>
    </row>
    <row r="3" spans="1:256" x14ac:dyDescent="0.25">
      <c r="A3" s="642"/>
      <c r="B3" s="633"/>
      <c r="C3" s="628" t="s">
        <v>213</v>
      </c>
      <c r="D3" s="666" t="str">
        <f>Head6</f>
        <v>Original Budget</v>
      </c>
      <c r="E3" s="628" t="str">
        <f>Head9</f>
        <v>Budget Year 2018/19</v>
      </c>
      <c r="F3" s="630" t="str">
        <f>Head10</f>
        <v>Budget Year +1 2019/20</v>
      </c>
      <c r="G3" s="635" t="str">
        <f>Head11</f>
        <v>Budget Year +2 2020/21</v>
      </c>
      <c r="H3" s="664" t="s">
        <v>123</v>
      </c>
      <c r="I3" s="639" t="str">
        <f t="shared" ref="I3:O3" si="0">H3</f>
        <v>Estimate</v>
      </c>
      <c r="J3" s="639" t="str">
        <f t="shared" si="0"/>
        <v>Estimate</v>
      </c>
      <c r="K3" s="630" t="str">
        <f t="shared" si="0"/>
        <v>Estimate</v>
      </c>
      <c r="L3" s="630" t="str">
        <f t="shared" si="0"/>
        <v>Estimate</v>
      </c>
      <c r="M3" s="639" t="str">
        <f t="shared" si="0"/>
        <v>Estimate</v>
      </c>
      <c r="N3" s="667" t="str">
        <f t="shared" si="0"/>
        <v>Estimate</v>
      </c>
      <c r="O3" s="669" t="str">
        <f t="shared" si="0"/>
        <v>Estimate</v>
      </c>
    </row>
    <row r="4" spans="1:256" ht="13.5" customHeight="1" x14ac:dyDescent="0.25">
      <c r="A4" s="151" t="s">
        <v>206</v>
      </c>
      <c r="B4" s="140">
        <v>1</v>
      </c>
      <c r="C4" s="629"/>
      <c r="D4" s="654"/>
      <c r="E4" s="629"/>
      <c r="F4" s="631"/>
      <c r="G4" s="636"/>
      <c r="H4" s="665"/>
      <c r="I4" s="640"/>
      <c r="J4" s="640"/>
      <c r="K4" s="631"/>
      <c r="L4" s="631"/>
      <c r="M4" s="640"/>
      <c r="N4" s="668"/>
      <c r="O4" s="670"/>
    </row>
    <row r="5" spans="1:256" ht="12.75" customHeight="1" x14ac:dyDescent="0.25">
      <c r="A5" s="22" t="s">
        <v>88</v>
      </c>
      <c r="B5" s="114">
        <v>2</v>
      </c>
      <c r="C5" s="28"/>
      <c r="D5" s="63"/>
      <c r="E5" s="28"/>
      <c r="F5" s="27"/>
      <c r="G5" s="105"/>
      <c r="H5" s="26"/>
      <c r="I5" s="27"/>
      <c r="J5" s="27"/>
      <c r="K5" s="27"/>
      <c r="L5" s="27"/>
      <c r="M5" s="27"/>
      <c r="N5" s="63"/>
      <c r="O5" s="97"/>
    </row>
    <row r="6" spans="1:256" ht="12.75" customHeight="1" x14ac:dyDescent="0.25">
      <c r="A6" s="511" t="s">
        <v>124</v>
      </c>
      <c r="B6" s="114"/>
      <c r="C6" s="272"/>
      <c r="D6" s="301"/>
      <c r="E6" s="272"/>
      <c r="F6" s="270"/>
      <c r="G6" s="271"/>
      <c r="H6" s="302"/>
      <c r="I6" s="270"/>
      <c r="J6" s="270"/>
      <c r="K6" s="270"/>
      <c r="L6" s="270"/>
      <c r="M6" s="270"/>
      <c r="N6" s="301"/>
      <c r="O6" s="97">
        <f>SUM(C6:N6)</f>
        <v>0</v>
      </c>
    </row>
    <row r="7" spans="1:256" ht="12.75" customHeight="1" x14ac:dyDescent="0.25">
      <c r="A7" s="511" t="s">
        <v>125</v>
      </c>
      <c r="B7" s="114"/>
      <c r="C7" s="272"/>
      <c r="D7" s="301"/>
      <c r="E7" s="272"/>
      <c r="F7" s="270"/>
      <c r="G7" s="271"/>
      <c r="H7" s="302"/>
      <c r="I7" s="270"/>
      <c r="J7" s="270"/>
      <c r="K7" s="270"/>
      <c r="L7" s="270"/>
      <c r="M7" s="270"/>
      <c r="N7" s="301"/>
      <c r="O7" s="97">
        <f>SUM(C7:N7)</f>
        <v>0</v>
      </c>
    </row>
    <row r="8" spans="1:256" ht="12.75" customHeight="1" x14ac:dyDescent="0.25">
      <c r="A8" s="511" t="s">
        <v>126</v>
      </c>
      <c r="B8" s="114"/>
      <c r="C8" s="272"/>
      <c r="D8" s="301"/>
      <c r="E8" s="272"/>
      <c r="F8" s="270"/>
      <c r="G8" s="271"/>
      <c r="H8" s="302"/>
      <c r="I8" s="270"/>
      <c r="J8" s="270"/>
      <c r="K8" s="270"/>
      <c r="L8" s="270"/>
      <c r="M8" s="270"/>
      <c r="N8" s="301"/>
      <c r="O8" s="97">
        <f>SUM(C8:N8)</f>
        <v>0</v>
      </c>
    </row>
    <row r="9" spans="1:256" ht="12.75" customHeight="1" x14ac:dyDescent="0.25">
      <c r="A9" s="59" t="s">
        <v>89</v>
      </c>
      <c r="B9" s="132"/>
      <c r="C9" s="152">
        <f>SUM(C6:C8)</f>
        <v>0</v>
      </c>
      <c r="D9" s="203">
        <f t="shared" ref="D9:O9" si="1">SUM(D6:D8)</f>
        <v>0</v>
      </c>
      <c r="E9" s="152">
        <f t="shared" si="1"/>
        <v>0</v>
      </c>
      <c r="F9" s="110">
        <f t="shared" si="1"/>
        <v>0</v>
      </c>
      <c r="G9" s="144">
        <f t="shared" si="1"/>
        <v>0</v>
      </c>
      <c r="H9" s="111">
        <f t="shared" si="1"/>
        <v>0</v>
      </c>
      <c r="I9" s="110">
        <f t="shared" si="1"/>
        <v>0</v>
      </c>
      <c r="J9" s="110">
        <f t="shared" si="1"/>
        <v>0</v>
      </c>
      <c r="K9" s="110">
        <f t="shared" si="1"/>
        <v>0</v>
      </c>
      <c r="L9" s="110">
        <f t="shared" si="1"/>
        <v>0</v>
      </c>
      <c r="M9" s="110">
        <f t="shared" si="1"/>
        <v>0</v>
      </c>
      <c r="N9" s="203">
        <f t="shared" si="1"/>
        <v>0</v>
      </c>
      <c r="O9" s="230">
        <f t="shared" si="1"/>
        <v>0</v>
      </c>
    </row>
    <row r="10" spans="1:256" ht="5.0999999999999996" customHeight="1" x14ac:dyDescent="0.25">
      <c r="A10" s="25"/>
      <c r="B10" s="114"/>
      <c r="C10" s="28"/>
      <c r="D10" s="63"/>
      <c r="E10" s="28"/>
      <c r="F10" s="27"/>
      <c r="G10" s="105"/>
      <c r="H10" s="26"/>
      <c r="I10" s="27"/>
      <c r="J10" s="27"/>
      <c r="K10" s="27"/>
      <c r="L10" s="27"/>
      <c r="M10" s="27"/>
      <c r="N10" s="63"/>
      <c r="O10" s="97"/>
    </row>
    <row r="11" spans="1:256" ht="12.75" customHeight="1" x14ac:dyDescent="0.25">
      <c r="A11" s="22" t="s">
        <v>87</v>
      </c>
      <c r="B11" s="114">
        <v>2</v>
      </c>
      <c r="C11" s="28"/>
      <c r="D11" s="63"/>
      <c r="E11" s="28"/>
      <c r="F11" s="27"/>
      <c r="G11" s="105"/>
      <c r="H11" s="26"/>
      <c r="I11" s="27"/>
      <c r="J11" s="27"/>
      <c r="K11" s="27"/>
      <c r="L11" s="27"/>
      <c r="M11" s="27"/>
      <c r="N11" s="63"/>
      <c r="O11" s="97"/>
    </row>
    <row r="12" spans="1:256" ht="12.75" customHeight="1" x14ac:dyDescent="0.25">
      <c r="A12" s="511" t="s">
        <v>124</v>
      </c>
      <c r="B12" s="114"/>
      <c r="C12" s="272"/>
      <c r="D12" s="301"/>
      <c r="E12" s="272"/>
      <c r="F12" s="270"/>
      <c r="G12" s="271"/>
      <c r="H12" s="302"/>
      <c r="I12" s="270"/>
      <c r="J12" s="270"/>
      <c r="K12" s="270"/>
      <c r="L12" s="270"/>
      <c r="M12" s="270"/>
      <c r="N12" s="301"/>
      <c r="O12" s="97">
        <f>SUM(C12:N12)</f>
        <v>0</v>
      </c>
    </row>
    <row r="13" spans="1:256" s="42" customFormat="1" ht="12.75" customHeight="1" x14ac:dyDescent="0.25">
      <c r="A13" s="511" t="s">
        <v>125</v>
      </c>
      <c r="B13" s="114"/>
      <c r="C13" s="272"/>
      <c r="D13" s="301"/>
      <c r="E13" s="272"/>
      <c r="F13" s="270"/>
      <c r="G13" s="271"/>
      <c r="H13" s="302"/>
      <c r="I13" s="270"/>
      <c r="J13" s="270"/>
      <c r="K13" s="270"/>
      <c r="L13" s="270"/>
      <c r="M13" s="270"/>
      <c r="N13" s="301"/>
      <c r="O13" s="97">
        <f>SUM(C13:N13)</f>
        <v>0</v>
      </c>
    </row>
    <row r="14" spans="1:256" s="42" customFormat="1" ht="12.75" customHeight="1" x14ac:dyDescent="0.25">
      <c r="A14" s="511" t="s">
        <v>126</v>
      </c>
      <c r="B14" s="114"/>
      <c r="C14" s="272"/>
      <c r="D14" s="301"/>
      <c r="E14" s="272"/>
      <c r="F14" s="270"/>
      <c r="G14" s="271"/>
      <c r="H14" s="302"/>
      <c r="I14" s="270"/>
      <c r="J14" s="270"/>
      <c r="K14" s="270"/>
      <c r="L14" s="270"/>
      <c r="M14" s="270"/>
      <c r="N14" s="301"/>
      <c r="O14" s="97">
        <f>SUM(C14:N14)</f>
        <v>0</v>
      </c>
    </row>
    <row r="15" spans="1:256" s="42" customFormat="1" ht="12.75" customHeight="1" x14ac:dyDescent="0.25">
      <c r="A15" s="59" t="s">
        <v>120</v>
      </c>
      <c r="B15" s="132"/>
      <c r="C15" s="152">
        <f>SUM(C12:C14)</f>
        <v>0</v>
      </c>
      <c r="D15" s="203">
        <f t="shared" ref="D15:O15" si="2">SUM(D12:D14)</f>
        <v>0</v>
      </c>
      <c r="E15" s="152">
        <f t="shared" si="2"/>
        <v>0</v>
      </c>
      <c r="F15" s="110">
        <f t="shared" si="2"/>
        <v>0</v>
      </c>
      <c r="G15" s="144">
        <f t="shared" si="2"/>
        <v>0</v>
      </c>
      <c r="H15" s="111">
        <f t="shared" si="2"/>
        <v>0</v>
      </c>
      <c r="I15" s="110">
        <f t="shared" si="2"/>
        <v>0</v>
      </c>
      <c r="J15" s="110">
        <f t="shared" si="2"/>
        <v>0</v>
      </c>
      <c r="K15" s="110">
        <f t="shared" si="2"/>
        <v>0</v>
      </c>
      <c r="L15" s="110">
        <f t="shared" si="2"/>
        <v>0</v>
      </c>
      <c r="M15" s="110">
        <f t="shared" si="2"/>
        <v>0</v>
      </c>
      <c r="N15" s="203">
        <f t="shared" si="2"/>
        <v>0</v>
      </c>
      <c r="O15" s="230">
        <f t="shared" si="2"/>
        <v>0</v>
      </c>
      <c r="P15" s="38"/>
      <c r="Q15" s="36"/>
      <c r="R15" s="26"/>
      <c r="S15" s="26"/>
      <c r="T15" s="26"/>
      <c r="U15" s="26"/>
      <c r="V15" s="26"/>
      <c r="W15" s="26"/>
      <c r="X15" s="26"/>
      <c r="Y15" s="26"/>
      <c r="Z15" s="26"/>
      <c r="AA15" s="26"/>
      <c r="AB15" s="26"/>
      <c r="AC15" s="26"/>
      <c r="AD15" s="26"/>
      <c r="AE15" s="38"/>
      <c r="AF15" s="36"/>
      <c r="AG15" s="26"/>
      <c r="AH15" s="26"/>
      <c r="AI15" s="26"/>
      <c r="AJ15" s="26"/>
      <c r="AK15" s="26"/>
      <c r="AL15" s="26"/>
      <c r="AM15" s="26"/>
      <c r="AN15" s="26"/>
      <c r="AO15" s="26"/>
      <c r="AP15" s="26"/>
      <c r="AQ15" s="26"/>
      <c r="AR15" s="26"/>
      <c r="AS15" s="26"/>
      <c r="AT15" s="38"/>
      <c r="AU15" s="36"/>
      <c r="AV15" s="26"/>
      <c r="AW15" s="26"/>
      <c r="AX15" s="26"/>
      <c r="AY15" s="26"/>
      <c r="AZ15" s="26"/>
      <c r="BA15" s="26"/>
      <c r="BB15" s="26"/>
      <c r="BC15" s="26"/>
      <c r="BD15" s="26"/>
      <c r="BE15" s="26"/>
      <c r="BF15" s="26"/>
      <c r="BG15" s="26"/>
      <c r="BH15" s="26"/>
      <c r="BI15" s="38"/>
      <c r="BJ15" s="36"/>
      <c r="BK15" s="26"/>
      <c r="BL15" s="26"/>
      <c r="BM15" s="26"/>
      <c r="BN15" s="26"/>
      <c r="BO15" s="26"/>
      <c r="BP15" s="26"/>
      <c r="BQ15" s="26"/>
      <c r="BR15" s="26"/>
      <c r="BS15" s="26"/>
      <c r="BT15" s="26"/>
      <c r="BU15" s="26"/>
      <c r="BV15" s="26"/>
      <c r="BW15" s="26"/>
      <c r="BX15" s="38"/>
      <c r="BY15" s="36"/>
      <c r="BZ15" s="26"/>
      <c r="CA15" s="26"/>
      <c r="CB15" s="26"/>
      <c r="CC15" s="26"/>
      <c r="CD15" s="26"/>
      <c r="CE15" s="26"/>
      <c r="CF15" s="26"/>
      <c r="CG15" s="26"/>
      <c r="CH15" s="26"/>
      <c r="CI15" s="26"/>
      <c r="CJ15" s="26"/>
      <c r="CK15" s="26"/>
      <c r="CL15" s="26"/>
      <c r="CM15" s="38"/>
      <c r="CN15" s="36"/>
      <c r="CO15" s="26"/>
      <c r="CP15" s="26"/>
      <c r="CQ15" s="26"/>
      <c r="CR15" s="26"/>
      <c r="CS15" s="26"/>
      <c r="CT15" s="26"/>
      <c r="CU15" s="26"/>
      <c r="CV15" s="26"/>
      <c r="CW15" s="26"/>
      <c r="CX15" s="26"/>
      <c r="CY15" s="26"/>
      <c r="CZ15" s="26"/>
      <c r="DA15" s="26"/>
      <c r="DB15" s="38"/>
      <c r="DC15" s="36"/>
      <c r="DD15" s="26"/>
      <c r="DE15" s="26"/>
      <c r="DF15" s="26"/>
      <c r="DG15" s="26"/>
      <c r="DH15" s="26"/>
      <c r="DI15" s="26"/>
      <c r="DJ15" s="26"/>
      <c r="DK15" s="26"/>
      <c r="DL15" s="26"/>
      <c r="DM15" s="26"/>
      <c r="DN15" s="26"/>
      <c r="DO15" s="26"/>
      <c r="DP15" s="26"/>
      <c r="DQ15" s="38"/>
      <c r="DR15" s="36"/>
      <c r="DS15" s="26"/>
      <c r="DT15" s="26"/>
      <c r="DU15" s="26"/>
      <c r="DV15" s="26"/>
      <c r="DW15" s="26"/>
      <c r="DX15" s="26"/>
      <c r="DY15" s="26"/>
      <c r="DZ15" s="26"/>
      <c r="EA15" s="26"/>
      <c r="EB15" s="26"/>
      <c r="EC15" s="26"/>
      <c r="ED15" s="26"/>
      <c r="EE15" s="26"/>
      <c r="EF15" s="38"/>
      <c r="EG15" s="36"/>
      <c r="EH15" s="26"/>
      <c r="EI15" s="26"/>
      <c r="EJ15" s="26"/>
      <c r="EK15" s="26"/>
      <c r="EL15" s="26"/>
      <c r="EM15" s="26"/>
      <c r="EN15" s="26"/>
      <c r="EO15" s="26"/>
      <c r="EP15" s="26"/>
      <c r="EQ15" s="26"/>
      <c r="ER15" s="26"/>
      <c r="ES15" s="26"/>
      <c r="ET15" s="26"/>
      <c r="EU15" s="38"/>
      <c r="EV15" s="36"/>
      <c r="EW15" s="26"/>
      <c r="EX15" s="26"/>
      <c r="EY15" s="26"/>
      <c r="EZ15" s="26"/>
      <c r="FA15" s="26"/>
      <c r="FB15" s="26"/>
      <c r="FC15" s="26"/>
      <c r="FD15" s="26"/>
      <c r="FE15" s="26"/>
      <c r="FF15" s="26"/>
      <c r="FG15" s="26"/>
      <c r="FH15" s="26"/>
      <c r="FI15" s="26"/>
      <c r="FJ15" s="38"/>
      <c r="FK15" s="36"/>
      <c r="FL15" s="26"/>
      <c r="FM15" s="26"/>
      <c r="FN15" s="26"/>
      <c r="FO15" s="26"/>
      <c r="FP15" s="26"/>
      <c r="FQ15" s="26"/>
      <c r="FR15" s="26"/>
      <c r="FS15" s="26"/>
      <c r="FT15" s="26"/>
      <c r="FU15" s="26"/>
      <c r="FV15" s="26"/>
      <c r="FW15" s="26"/>
      <c r="FX15" s="26"/>
      <c r="FY15" s="38"/>
      <c r="FZ15" s="36"/>
      <c r="GA15" s="26"/>
      <c r="GB15" s="26"/>
      <c r="GC15" s="26"/>
      <c r="GD15" s="26"/>
      <c r="GE15" s="26"/>
      <c r="GF15" s="26"/>
      <c r="GG15" s="26"/>
      <c r="GH15" s="26"/>
      <c r="GI15" s="26"/>
      <c r="GJ15" s="26"/>
      <c r="GK15" s="26"/>
      <c r="GL15" s="26"/>
      <c r="GM15" s="26"/>
      <c r="GN15" s="38"/>
      <c r="GO15" s="36"/>
      <c r="GP15" s="26"/>
      <c r="GQ15" s="26"/>
      <c r="GR15" s="26"/>
      <c r="GS15" s="26"/>
      <c r="GT15" s="26"/>
      <c r="GU15" s="26"/>
      <c r="GV15" s="26"/>
      <c r="GW15" s="26"/>
      <c r="GX15" s="26"/>
      <c r="GY15" s="26"/>
      <c r="GZ15" s="26"/>
      <c r="HA15" s="26"/>
      <c r="HB15" s="26"/>
      <c r="HC15" s="38"/>
      <c r="HD15" s="36"/>
      <c r="HE15" s="26"/>
      <c r="HF15" s="26"/>
      <c r="HG15" s="26"/>
      <c r="HH15" s="26"/>
      <c r="HI15" s="26"/>
      <c r="HJ15" s="26"/>
      <c r="HK15" s="26"/>
      <c r="HL15" s="26"/>
      <c r="HM15" s="26"/>
      <c r="HN15" s="26"/>
      <c r="HO15" s="26"/>
      <c r="HP15" s="26"/>
      <c r="HQ15" s="26"/>
      <c r="HR15" s="38"/>
      <c r="HS15" s="36"/>
      <c r="HT15" s="26"/>
      <c r="HU15" s="26"/>
      <c r="HV15" s="26"/>
      <c r="HW15" s="26"/>
      <c r="HX15" s="26"/>
      <c r="HY15" s="26"/>
      <c r="HZ15" s="26"/>
      <c r="IA15" s="26"/>
      <c r="IB15" s="26"/>
      <c r="IC15" s="26"/>
      <c r="ID15" s="26"/>
      <c r="IE15" s="26"/>
      <c r="IF15" s="26"/>
      <c r="IG15" s="38"/>
      <c r="IH15" s="36"/>
      <c r="II15" s="26"/>
      <c r="IJ15" s="26"/>
      <c r="IK15" s="26"/>
      <c r="IL15" s="26"/>
      <c r="IM15" s="26"/>
      <c r="IN15" s="26"/>
      <c r="IO15" s="26"/>
      <c r="IP15" s="26"/>
      <c r="IQ15" s="26"/>
      <c r="IR15" s="26"/>
      <c r="IS15" s="26"/>
      <c r="IT15" s="26"/>
      <c r="IU15" s="26"/>
      <c r="IV15" s="38"/>
    </row>
    <row r="16" spans="1:256" s="42" customFormat="1" ht="5.0999999999999996" customHeight="1" x14ac:dyDescent="0.25">
      <c r="A16" s="25"/>
      <c r="B16" s="114"/>
      <c r="C16" s="28"/>
      <c r="D16" s="63"/>
      <c r="E16" s="28"/>
      <c r="F16" s="27"/>
      <c r="G16" s="105"/>
      <c r="H16" s="26"/>
      <c r="I16" s="27"/>
      <c r="J16" s="27"/>
      <c r="K16" s="27"/>
      <c r="L16" s="27"/>
      <c r="M16" s="27"/>
      <c r="N16" s="63"/>
      <c r="O16" s="97"/>
    </row>
    <row r="17" spans="1:256" s="42" customFormat="1" ht="12.75" customHeight="1" x14ac:dyDescent="0.25">
      <c r="A17" s="22" t="s">
        <v>439</v>
      </c>
      <c r="B17" s="114">
        <v>2</v>
      </c>
      <c r="C17" s="28"/>
      <c r="D17" s="63"/>
      <c r="E17" s="28"/>
      <c r="F17" s="27"/>
      <c r="G17" s="105"/>
      <c r="H17" s="26"/>
      <c r="I17" s="27"/>
      <c r="J17" s="27"/>
      <c r="K17" s="27"/>
      <c r="L17" s="27"/>
      <c r="M17" s="27"/>
      <c r="N17" s="63"/>
      <c r="O17" s="97"/>
    </row>
    <row r="18" spans="1:256" s="42" customFormat="1" ht="12.75" customHeight="1" x14ac:dyDescent="0.25">
      <c r="A18" s="511" t="s">
        <v>124</v>
      </c>
      <c r="B18" s="114"/>
      <c r="C18" s="272"/>
      <c r="D18" s="301"/>
      <c r="E18" s="272"/>
      <c r="F18" s="270"/>
      <c r="G18" s="271"/>
      <c r="H18" s="302"/>
      <c r="I18" s="270"/>
      <c r="J18" s="270"/>
      <c r="K18" s="270"/>
      <c r="L18" s="270"/>
      <c r="M18" s="270"/>
      <c r="N18" s="301"/>
      <c r="O18" s="97">
        <f>SUM(C18:N18)</f>
        <v>0</v>
      </c>
    </row>
    <row r="19" spans="1:256" s="42" customFormat="1" ht="12.75" customHeight="1" x14ac:dyDescent="0.25">
      <c r="A19" s="511" t="s">
        <v>125</v>
      </c>
      <c r="B19" s="114"/>
      <c r="C19" s="272"/>
      <c r="D19" s="301"/>
      <c r="E19" s="272"/>
      <c r="F19" s="270"/>
      <c r="G19" s="271"/>
      <c r="H19" s="302"/>
      <c r="I19" s="270"/>
      <c r="J19" s="270"/>
      <c r="K19" s="270"/>
      <c r="L19" s="270"/>
      <c r="M19" s="270"/>
      <c r="N19" s="301"/>
      <c r="O19" s="97">
        <f>SUM(C19:N19)</f>
        <v>0</v>
      </c>
    </row>
    <row r="20" spans="1:256" s="42" customFormat="1" ht="12.75" customHeight="1" x14ac:dyDescent="0.25">
      <c r="A20" s="511" t="s">
        <v>126</v>
      </c>
      <c r="B20" s="114"/>
      <c r="C20" s="272"/>
      <c r="D20" s="301"/>
      <c r="E20" s="272"/>
      <c r="F20" s="270"/>
      <c r="G20" s="271"/>
      <c r="H20" s="302"/>
      <c r="I20" s="270"/>
      <c r="J20" s="270"/>
      <c r="K20" s="270"/>
      <c r="L20" s="270"/>
      <c r="M20" s="270"/>
      <c r="N20" s="301"/>
      <c r="O20" s="97">
        <f>SUM(C20:N20)</f>
        <v>0</v>
      </c>
    </row>
    <row r="21" spans="1:256" s="42" customFormat="1" ht="12.75" customHeight="1" x14ac:dyDescent="0.25">
      <c r="A21" s="59" t="s">
        <v>90</v>
      </c>
      <c r="B21" s="132"/>
      <c r="C21" s="152">
        <f>SUM(C18:C20)</f>
        <v>0</v>
      </c>
      <c r="D21" s="203">
        <f t="shared" ref="D21:O21" si="3">SUM(D18:D20)</f>
        <v>0</v>
      </c>
      <c r="E21" s="152">
        <f t="shared" si="3"/>
        <v>0</v>
      </c>
      <c r="F21" s="110">
        <f t="shared" si="3"/>
        <v>0</v>
      </c>
      <c r="G21" s="144">
        <f t="shared" si="3"/>
        <v>0</v>
      </c>
      <c r="H21" s="111">
        <f t="shared" si="3"/>
        <v>0</v>
      </c>
      <c r="I21" s="110">
        <f t="shared" si="3"/>
        <v>0</v>
      </c>
      <c r="J21" s="110">
        <f t="shared" si="3"/>
        <v>0</v>
      </c>
      <c r="K21" s="110">
        <f t="shared" si="3"/>
        <v>0</v>
      </c>
      <c r="L21" s="110">
        <f t="shared" si="3"/>
        <v>0</v>
      </c>
      <c r="M21" s="110">
        <f t="shared" si="3"/>
        <v>0</v>
      </c>
      <c r="N21" s="203">
        <f t="shared" si="3"/>
        <v>0</v>
      </c>
      <c r="O21" s="230">
        <f t="shared" si="3"/>
        <v>0</v>
      </c>
      <c r="P21" s="38"/>
      <c r="Q21" s="36"/>
      <c r="R21" s="26"/>
      <c r="S21" s="26"/>
      <c r="T21" s="26"/>
      <c r="U21" s="26"/>
      <c r="V21" s="26"/>
      <c r="W21" s="26"/>
      <c r="X21" s="26"/>
      <c r="Y21" s="26"/>
      <c r="Z21" s="26"/>
      <c r="AA21" s="26"/>
      <c r="AB21" s="26"/>
      <c r="AC21" s="26"/>
      <c r="AD21" s="26"/>
      <c r="AE21" s="38"/>
      <c r="AF21" s="36"/>
      <c r="AG21" s="26"/>
      <c r="AH21" s="26"/>
      <c r="AI21" s="26"/>
      <c r="AJ21" s="26"/>
      <c r="AK21" s="26"/>
      <c r="AL21" s="26"/>
      <c r="AM21" s="26"/>
      <c r="AN21" s="26"/>
      <c r="AO21" s="26"/>
      <c r="AP21" s="26"/>
      <c r="AQ21" s="26"/>
      <c r="AR21" s="26"/>
      <c r="AS21" s="26"/>
      <c r="AT21" s="38"/>
      <c r="AU21" s="36"/>
      <c r="AV21" s="26"/>
      <c r="AW21" s="26"/>
      <c r="AX21" s="26"/>
      <c r="AY21" s="26"/>
      <c r="AZ21" s="26"/>
      <c r="BA21" s="26"/>
      <c r="BB21" s="26"/>
      <c r="BC21" s="26"/>
      <c r="BD21" s="26"/>
      <c r="BE21" s="26"/>
      <c r="BF21" s="26"/>
      <c r="BG21" s="26"/>
      <c r="BH21" s="26"/>
      <c r="BI21" s="38"/>
      <c r="BJ21" s="36"/>
      <c r="BK21" s="26"/>
      <c r="BL21" s="26"/>
      <c r="BM21" s="26"/>
      <c r="BN21" s="26"/>
      <c r="BO21" s="26"/>
      <c r="BP21" s="26"/>
      <c r="BQ21" s="26"/>
      <c r="BR21" s="26"/>
      <c r="BS21" s="26"/>
      <c r="BT21" s="26"/>
      <c r="BU21" s="26"/>
      <c r="BV21" s="26"/>
      <c r="BW21" s="26"/>
      <c r="BX21" s="38"/>
      <c r="BY21" s="36"/>
      <c r="BZ21" s="26"/>
      <c r="CA21" s="26"/>
      <c r="CB21" s="26"/>
      <c r="CC21" s="26"/>
      <c r="CD21" s="26"/>
      <c r="CE21" s="26"/>
      <c r="CF21" s="26"/>
      <c r="CG21" s="26"/>
      <c r="CH21" s="26"/>
      <c r="CI21" s="26"/>
      <c r="CJ21" s="26"/>
      <c r="CK21" s="26"/>
      <c r="CL21" s="26"/>
      <c r="CM21" s="38"/>
      <c r="CN21" s="36"/>
      <c r="CO21" s="26"/>
      <c r="CP21" s="26"/>
      <c r="CQ21" s="26"/>
      <c r="CR21" s="26"/>
      <c r="CS21" s="26"/>
      <c r="CT21" s="26"/>
      <c r="CU21" s="26"/>
      <c r="CV21" s="26"/>
      <c r="CW21" s="26"/>
      <c r="CX21" s="26"/>
      <c r="CY21" s="26"/>
      <c r="CZ21" s="26"/>
      <c r="DA21" s="26"/>
      <c r="DB21" s="38"/>
      <c r="DC21" s="36"/>
      <c r="DD21" s="26"/>
      <c r="DE21" s="26"/>
      <c r="DF21" s="26"/>
      <c r="DG21" s="26"/>
      <c r="DH21" s="26"/>
      <c r="DI21" s="26"/>
      <c r="DJ21" s="26"/>
      <c r="DK21" s="26"/>
      <c r="DL21" s="26"/>
      <c r="DM21" s="26"/>
      <c r="DN21" s="26"/>
      <c r="DO21" s="26"/>
      <c r="DP21" s="26"/>
      <c r="DQ21" s="38"/>
      <c r="DR21" s="36"/>
      <c r="DS21" s="26"/>
      <c r="DT21" s="26"/>
      <c r="DU21" s="26"/>
      <c r="DV21" s="26"/>
      <c r="DW21" s="26"/>
      <c r="DX21" s="26"/>
      <c r="DY21" s="26"/>
      <c r="DZ21" s="26"/>
      <c r="EA21" s="26"/>
      <c r="EB21" s="26"/>
      <c r="EC21" s="26"/>
      <c r="ED21" s="26"/>
      <c r="EE21" s="26"/>
      <c r="EF21" s="38"/>
      <c r="EG21" s="36"/>
      <c r="EH21" s="26"/>
      <c r="EI21" s="26"/>
      <c r="EJ21" s="26"/>
      <c r="EK21" s="26"/>
      <c r="EL21" s="26"/>
      <c r="EM21" s="26"/>
      <c r="EN21" s="26"/>
      <c r="EO21" s="26"/>
      <c r="EP21" s="26"/>
      <c r="EQ21" s="26"/>
      <c r="ER21" s="26"/>
      <c r="ES21" s="26"/>
      <c r="ET21" s="26"/>
      <c r="EU21" s="38"/>
      <c r="EV21" s="36"/>
      <c r="EW21" s="26"/>
      <c r="EX21" s="26"/>
      <c r="EY21" s="26"/>
      <c r="EZ21" s="26"/>
      <c r="FA21" s="26"/>
      <c r="FB21" s="26"/>
      <c r="FC21" s="26"/>
      <c r="FD21" s="26"/>
      <c r="FE21" s="26"/>
      <c r="FF21" s="26"/>
      <c r="FG21" s="26"/>
      <c r="FH21" s="26"/>
      <c r="FI21" s="26"/>
      <c r="FJ21" s="38"/>
      <c r="FK21" s="36"/>
      <c r="FL21" s="26"/>
      <c r="FM21" s="26"/>
      <c r="FN21" s="26"/>
      <c r="FO21" s="26"/>
      <c r="FP21" s="26"/>
      <c r="FQ21" s="26"/>
      <c r="FR21" s="26"/>
      <c r="FS21" s="26"/>
      <c r="FT21" s="26"/>
      <c r="FU21" s="26"/>
      <c r="FV21" s="26"/>
      <c r="FW21" s="26"/>
      <c r="FX21" s="26"/>
      <c r="FY21" s="38"/>
      <c r="FZ21" s="36"/>
      <c r="GA21" s="26"/>
      <c r="GB21" s="26"/>
      <c r="GC21" s="26"/>
      <c r="GD21" s="26"/>
      <c r="GE21" s="26"/>
      <c r="GF21" s="26"/>
      <c r="GG21" s="26"/>
      <c r="GH21" s="26"/>
      <c r="GI21" s="26"/>
      <c r="GJ21" s="26"/>
      <c r="GK21" s="26"/>
      <c r="GL21" s="26"/>
      <c r="GM21" s="26"/>
      <c r="GN21" s="38"/>
      <c r="GO21" s="36"/>
      <c r="GP21" s="26"/>
      <c r="GQ21" s="26"/>
      <c r="GR21" s="26"/>
      <c r="GS21" s="26"/>
      <c r="GT21" s="26"/>
      <c r="GU21" s="26"/>
      <c r="GV21" s="26"/>
      <c r="GW21" s="26"/>
      <c r="GX21" s="26"/>
      <c r="GY21" s="26"/>
      <c r="GZ21" s="26"/>
      <c r="HA21" s="26"/>
      <c r="HB21" s="26"/>
      <c r="HC21" s="38"/>
      <c r="HD21" s="36"/>
      <c r="HE21" s="26"/>
      <c r="HF21" s="26"/>
      <c r="HG21" s="26"/>
      <c r="HH21" s="26"/>
      <c r="HI21" s="26"/>
      <c r="HJ21" s="26"/>
      <c r="HK21" s="26"/>
      <c r="HL21" s="26"/>
      <c r="HM21" s="26"/>
      <c r="HN21" s="26"/>
      <c r="HO21" s="26"/>
      <c r="HP21" s="26"/>
      <c r="HQ21" s="26"/>
      <c r="HR21" s="38"/>
      <c r="HS21" s="36"/>
      <c r="HT21" s="26"/>
      <c r="HU21" s="26"/>
      <c r="HV21" s="26"/>
      <c r="HW21" s="26"/>
      <c r="HX21" s="26"/>
      <c r="HY21" s="26"/>
      <c r="HZ21" s="26"/>
      <c r="IA21" s="26"/>
      <c r="IB21" s="26"/>
      <c r="IC21" s="26"/>
      <c r="ID21" s="26"/>
      <c r="IE21" s="26"/>
      <c r="IF21" s="26"/>
      <c r="IG21" s="38"/>
      <c r="IH21" s="36"/>
      <c r="II21" s="26"/>
      <c r="IJ21" s="26"/>
      <c r="IK21" s="26"/>
      <c r="IL21" s="26"/>
      <c r="IM21" s="26"/>
      <c r="IN21" s="26"/>
      <c r="IO21" s="26"/>
      <c r="IP21" s="26"/>
      <c r="IQ21" s="26"/>
      <c r="IR21" s="26"/>
      <c r="IS21" s="26"/>
      <c r="IT21" s="26"/>
      <c r="IU21" s="26"/>
      <c r="IV21" s="38"/>
    </row>
    <row r="22" spans="1:256" s="42" customFormat="1" ht="5.0999999999999996" customHeight="1" x14ac:dyDescent="0.25">
      <c r="A22" s="25"/>
      <c r="B22" s="114"/>
      <c r="C22" s="28"/>
      <c r="D22" s="63"/>
      <c r="E22" s="28"/>
      <c r="F22" s="27"/>
      <c r="G22" s="105"/>
      <c r="H22" s="26"/>
      <c r="I22" s="27"/>
      <c r="J22" s="27"/>
      <c r="K22" s="27"/>
      <c r="L22" s="27"/>
      <c r="M22" s="27"/>
      <c r="N22" s="63"/>
      <c r="O22" s="97"/>
    </row>
    <row r="23" spans="1:256" s="42" customFormat="1" ht="12.75" customHeight="1" x14ac:dyDescent="0.25">
      <c r="A23" s="32" t="s">
        <v>91</v>
      </c>
      <c r="B23" s="134"/>
      <c r="C23" s="147">
        <f t="shared" ref="C23:O23" si="4">C15+C21</f>
        <v>0</v>
      </c>
      <c r="D23" s="204">
        <f t="shared" si="4"/>
        <v>0</v>
      </c>
      <c r="E23" s="147">
        <f t="shared" si="4"/>
        <v>0</v>
      </c>
      <c r="F23" s="148">
        <f t="shared" si="4"/>
        <v>0</v>
      </c>
      <c r="G23" s="149">
        <f t="shared" si="4"/>
        <v>0</v>
      </c>
      <c r="H23" s="205">
        <f t="shared" si="4"/>
        <v>0</v>
      </c>
      <c r="I23" s="148">
        <f t="shared" si="4"/>
        <v>0</v>
      </c>
      <c r="J23" s="148">
        <f t="shared" si="4"/>
        <v>0</v>
      </c>
      <c r="K23" s="148">
        <f t="shared" si="4"/>
        <v>0</v>
      </c>
      <c r="L23" s="148">
        <f t="shared" si="4"/>
        <v>0</v>
      </c>
      <c r="M23" s="148">
        <f t="shared" si="4"/>
        <v>0</v>
      </c>
      <c r="N23" s="204">
        <f t="shared" si="4"/>
        <v>0</v>
      </c>
      <c r="O23" s="231">
        <f t="shared" si="4"/>
        <v>0</v>
      </c>
      <c r="P23" s="38"/>
      <c r="Q23" s="36"/>
      <c r="R23" s="26"/>
      <c r="S23" s="26"/>
      <c r="T23" s="26"/>
      <c r="U23" s="26"/>
      <c r="V23" s="26"/>
      <c r="W23" s="26"/>
      <c r="X23" s="26"/>
      <c r="Y23" s="26"/>
      <c r="Z23" s="26"/>
      <c r="AA23" s="26"/>
      <c r="AB23" s="26"/>
      <c r="AC23" s="26"/>
      <c r="AD23" s="26"/>
      <c r="AE23" s="38"/>
      <c r="AF23" s="36"/>
      <c r="AG23" s="26"/>
      <c r="AH23" s="26"/>
      <c r="AI23" s="26"/>
      <c r="AJ23" s="26"/>
      <c r="AK23" s="26"/>
      <c r="AL23" s="26"/>
      <c r="AM23" s="26"/>
      <c r="AN23" s="26"/>
      <c r="AO23" s="26"/>
      <c r="AP23" s="26"/>
      <c r="AQ23" s="26"/>
      <c r="AR23" s="26"/>
      <c r="AS23" s="26"/>
      <c r="AT23" s="38"/>
      <c r="AU23" s="36"/>
      <c r="AV23" s="26"/>
      <c r="AW23" s="26"/>
      <c r="AX23" s="26"/>
      <c r="AY23" s="26"/>
      <c r="AZ23" s="26"/>
      <c r="BA23" s="26"/>
      <c r="BB23" s="26"/>
      <c r="BC23" s="26"/>
      <c r="BD23" s="26"/>
      <c r="BE23" s="26"/>
      <c r="BF23" s="26"/>
      <c r="BG23" s="26"/>
      <c r="BH23" s="26"/>
      <c r="BI23" s="38"/>
      <c r="BJ23" s="36"/>
      <c r="BK23" s="26"/>
      <c r="BL23" s="26"/>
      <c r="BM23" s="26"/>
      <c r="BN23" s="26"/>
      <c r="BO23" s="26"/>
      <c r="BP23" s="26"/>
      <c r="BQ23" s="26"/>
      <c r="BR23" s="26"/>
      <c r="BS23" s="26"/>
      <c r="BT23" s="26"/>
      <c r="BU23" s="26"/>
      <c r="BV23" s="26"/>
      <c r="BW23" s="26"/>
      <c r="BX23" s="38"/>
      <c r="BY23" s="36"/>
      <c r="BZ23" s="26"/>
      <c r="CA23" s="26"/>
      <c r="CB23" s="26"/>
      <c r="CC23" s="26"/>
      <c r="CD23" s="26"/>
      <c r="CE23" s="26"/>
      <c r="CF23" s="26"/>
      <c r="CG23" s="26"/>
      <c r="CH23" s="26"/>
      <c r="CI23" s="26"/>
      <c r="CJ23" s="26"/>
      <c r="CK23" s="26"/>
      <c r="CL23" s="26"/>
      <c r="CM23" s="38"/>
      <c r="CN23" s="36"/>
      <c r="CO23" s="26"/>
      <c r="CP23" s="26"/>
      <c r="CQ23" s="26"/>
      <c r="CR23" s="26"/>
      <c r="CS23" s="26"/>
      <c r="CT23" s="26"/>
      <c r="CU23" s="26"/>
      <c r="CV23" s="26"/>
      <c r="CW23" s="26"/>
      <c r="CX23" s="26"/>
      <c r="CY23" s="26"/>
      <c r="CZ23" s="26"/>
      <c r="DA23" s="26"/>
      <c r="DB23" s="38"/>
      <c r="DC23" s="36"/>
      <c r="DD23" s="26"/>
      <c r="DE23" s="26"/>
      <c r="DF23" s="26"/>
      <c r="DG23" s="26"/>
      <c r="DH23" s="26"/>
      <c r="DI23" s="26"/>
      <c r="DJ23" s="26"/>
      <c r="DK23" s="26"/>
      <c r="DL23" s="26"/>
      <c r="DM23" s="26"/>
      <c r="DN23" s="26"/>
      <c r="DO23" s="26"/>
      <c r="DP23" s="26"/>
      <c r="DQ23" s="38"/>
      <c r="DR23" s="36"/>
      <c r="DS23" s="26"/>
      <c r="DT23" s="26"/>
      <c r="DU23" s="26"/>
      <c r="DV23" s="26"/>
      <c r="DW23" s="26"/>
      <c r="DX23" s="26"/>
      <c r="DY23" s="26"/>
      <c r="DZ23" s="26"/>
      <c r="EA23" s="26"/>
      <c r="EB23" s="26"/>
      <c r="EC23" s="26"/>
      <c r="ED23" s="26"/>
      <c r="EE23" s="26"/>
      <c r="EF23" s="38"/>
      <c r="EG23" s="36"/>
      <c r="EH23" s="26"/>
      <c r="EI23" s="26"/>
      <c r="EJ23" s="26"/>
      <c r="EK23" s="26"/>
      <c r="EL23" s="26"/>
      <c r="EM23" s="26"/>
      <c r="EN23" s="26"/>
      <c r="EO23" s="26"/>
      <c r="EP23" s="26"/>
      <c r="EQ23" s="26"/>
      <c r="ER23" s="26"/>
      <c r="ES23" s="26"/>
      <c r="ET23" s="26"/>
      <c r="EU23" s="38"/>
      <c r="EV23" s="36"/>
      <c r="EW23" s="26"/>
      <c r="EX23" s="26"/>
      <c r="EY23" s="26"/>
      <c r="EZ23" s="26"/>
      <c r="FA23" s="26"/>
      <c r="FB23" s="26"/>
      <c r="FC23" s="26"/>
      <c r="FD23" s="26"/>
      <c r="FE23" s="26"/>
      <c r="FF23" s="26"/>
      <c r="FG23" s="26"/>
      <c r="FH23" s="26"/>
      <c r="FI23" s="26"/>
      <c r="FJ23" s="38"/>
      <c r="FK23" s="36"/>
      <c r="FL23" s="26"/>
      <c r="FM23" s="26"/>
      <c r="FN23" s="26"/>
      <c r="FO23" s="26"/>
      <c r="FP23" s="26"/>
      <c r="FQ23" s="26"/>
      <c r="FR23" s="26"/>
      <c r="FS23" s="26"/>
      <c r="FT23" s="26"/>
      <c r="FU23" s="26"/>
      <c r="FV23" s="26"/>
      <c r="FW23" s="26"/>
      <c r="FX23" s="26"/>
      <c r="FY23" s="38"/>
      <c r="FZ23" s="36"/>
      <c r="GA23" s="26"/>
      <c r="GB23" s="26"/>
      <c r="GC23" s="26"/>
      <c r="GD23" s="26"/>
      <c r="GE23" s="26"/>
      <c r="GF23" s="26"/>
      <c r="GG23" s="26"/>
      <c r="GH23" s="26"/>
      <c r="GI23" s="26"/>
      <c r="GJ23" s="26"/>
      <c r="GK23" s="26"/>
      <c r="GL23" s="26"/>
      <c r="GM23" s="26"/>
      <c r="GN23" s="38"/>
      <c r="GO23" s="36"/>
      <c r="GP23" s="26"/>
      <c r="GQ23" s="26"/>
      <c r="GR23" s="26"/>
      <c r="GS23" s="26"/>
      <c r="GT23" s="26"/>
      <c r="GU23" s="26"/>
      <c r="GV23" s="26"/>
      <c r="GW23" s="26"/>
      <c r="GX23" s="26"/>
      <c r="GY23" s="26"/>
      <c r="GZ23" s="26"/>
      <c r="HA23" s="26"/>
      <c r="HB23" s="26"/>
      <c r="HC23" s="38"/>
      <c r="HD23" s="36"/>
      <c r="HE23" s="26"/>
      <c r="HF23" s="26"/>
      <c r="HG23" s="26"/>
      <c r="HH23" s="26"/>
      <c r="HI23" s="26"/>
      <c r="HJ23" s="26"/>
      <c r="HK23" s="26"/>
      <c r="HL23" s="26"/>
      <c r="HM23" s="26"/>
      <c r="HN23" s="26"/>
      <c r="HO23" s="26"/>
      <c r="HP23" s="26"/>
      <c r="HQ23" s="26"/>
      <c r="HR23" s="38"/>
      <c r="HS23" s="36"/>
      <c r="HT23" s="26"/>
      <c r="HU23" s="26"/>
      <c r="HV23" s="26"/>
      <c r="HW23" s="26"/>
      <c r="HX23" s="26"/>
      <c r="HY23" s="26"/>
      <c r="HZ23" s="26"/>
      <c r="IA23" s="26"/>
      <c r="IB23" s="26"/>
      <c r="IC23" s="26"/>
      <c r="ID23" s="26"/>
      <c r="IE23" s="26"/>
      <c r="IF23" s="26"/>
      <c r="IG23" s="38"/>
      <c r="IH23" s="36"/>
      <c r="II23" s="26"/>
      <c r="IJ23" s="26"/>
      <c r="IK23" s="26"/>
      <c r="IL23" s="26"/>
      <c r="IM23" s="26"/>
      <c r="IN23" s="26"/>
      <c r="IO23" s="26"/>
      <c r="IP23" s="26"/>
      <c r="IQ23" s="26"/>
      <c r="IR23" s="26"/>
      <c r="IS23" s="26"/>
      <c r="IT23" s="26"/>
      <c r="IU23" s="26"/>
      <c r="IV23" s="38"/>
    </row>
    <row r="24" spans="1:256" s="42" customFormat="1" ht="12.75" customHeight="1" x14ac:dyDescent="0.25">
      <c r="A24" s="35" t="str">
        <f>head27a</f>
        <v>References</v>
      </c>
      <c r="B24" s="36"/>
      <c r="C24" s="39"/>
      <c r="D24" s="39"/>
      <c r="E24" s="39"/>
      <c r="F24" s="39"/>
      <c r="G24" s="39"/>
      <c r="H24" s="39"/>
      <c r="I24" s="39"/>
      <c r="J24" s="39"/>
      <c r="K24" s="39"/>
      <c r="L24" s="39"/>
      <c r="M24" s="39"/>
      <c r="N24" s="39"/>
      <c r="O24" s="52"/>
    </row>
    <row r="25" spans="1:256" s="42" customFormat="1" ht="12.75" customHeight="1" x14ac:dyDescent="0.25">
      <c r="A25" s="37" t="s">
        <v>455</v>
      </c>
      <c r="B25" s="36"/>
      <c r="C25" s="38"/>
      <c r="D25" s="39"/>
      <c r="E25" s="39"/>
      <c r="F25" s="39"/>
      <c r="G25" s="39"/>
    </row>
    <row r="26" spans="1:256" ht="12.75" customHeight="1" x14ac:dyDescent="0.25">
      <c r="A26" s="47" t="s">
        <v>92</v>
      </c>
      <c r="B26" s="36"/>
      <c r="C26" s="38"/>
      <c r="D26" s="39"/>
      <c r="E26" s="39"/>
      <c r="F26" s="39"/>
      <c r="G26" s="39"/>
      <c r="H26" s="42"/>
      <c r="I26" s="42"/>
      <c r="J26" s="42"/>
      <c r="K26" s="42"/>
      <c r="L26" s="42"/>
      <c r="M26" s="42"/>
      <c r="N26" s="42"/>
      <c r="O26" s="42"/>
    </row>
    <row r="27" spans="1:256" ht="11.25" customHeight="1" x14ac:dyDescent="0.25">
      <c r="A27" s="49"/>
      <c r="B27" s="40"/>
      <c r="C27" s="52"/>
      <c r="D27" s="60"/>
      <c r="E27" s="52"/>
      <c r="F27" s="52"/>
      <c r="G27" s="52"/>
    </row>
    <row r="28" spans="1:256" ht="11.25" customHeight="1" x14ac:dyDescent="0.25"/>
    <row r="29" spans="1:256" ht="11.25" customHeight="1" x14ac:dyDescent="0.25"/>
    <row r="30" spans="1:256" ht="11.25" customHeight="1" x14ac:dyDescent="0.25"/>
    <row r="31" spans="1:256" ht="11.25" customHeight="1" x14ac:dyDescent="0.25"/>
    <row r="32" spans="1:256"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sheetData>
  <sheetProtection sheet="1" objects="1" scenarios="1"/>
  <mergeCells count="16">
    <mergeCell ref="M3:M4"/>
    <mergeCell ref="N3:N4"/>
    <mergeCell ref="O3:O4"/>
    <mergeCell ref="I3:I4"/>
    <mergeCell ref="J3:J4"/>
    <mergeCell ref="K3:K4"/>
    <mergeCell ref="L3:L4"/>
    <mergeCell ref="G3:G4"/>
    <mergeCell ref="H3:H4"/>
    <mergeCell ref="A2:A3"/>
    <mergeCell ref="B2:B3"/>
    <mergeCell ref="C3:C4"/>
    <mergeCell ref="D3:D4"/>
    <mergeCell ref="E2:G2"/>
    <mergeCell ref="E3:E4"/>
    <mergeCell ref="F3:F4"/>
  </mergeCells>
  <phoneticPr fontId="2" type="noConversion"/>
  <printOptions horizontalCentered="1"/>
  <pageMargins left="0.35433070866141736" right="0.51" top="0.78740157480314965" bottom="0.59055118110236227" header="0.62992125984251968" footer="0.39370078740157483"/>
  <pageSetup paperSize="9" scale="9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0">
    <tabColor rgb="FFCCFFCC"/>
    <pageSetUpPr fitToPage="1"/>
  </sheetPr>
  <dimension ref="A1:L61"/>
  <sheetViews>
    <sheetView showGridLines="0" view="pageBreakPreview" zoomScale="110" zoomScaleNormal="100" zoomScaleSheetLayoutView="110" workbookViewId="0">
      <pane xSplit="2" ySplit="4" topLeftCell="C5" activePane="bottomRight" state="frozen"/>
      <selection activeCell="M29" sqref="M29"/>
      <selection pane="topRight" activeCell="M29" sqref="M29"/>
      <selection pane="bottomLeft" activeCell="M29" sqref="M29"/>
      <selection pane="bottomRight" activeCell="C5" sqref="C5"/>
    </sheetView>
  </sheetViews>
  <sheetFormatPr defaultRowHeight="12.75" x14ac:dyDescent="0.25"/>
  <cols>
    <col min="1" max="1" width="35.7109375" style="20" customWidth="1"/>
    <col min="2" max="2" width="3.5703125" style="43" customWidth="1"/>
    <col min="3" max="3" width="10.7109375" style="20" customWidth="1"/>
    <col min="4" max="4" width="25.7109375" style="20" customWidth="1"/>
    <col min="5" max="6" width="10.7109375" style="20" customWidth="1"/>
    <col min="7" max="7" width="9.85546875" style="20" customWidth="1"/>
    <col min="8" max="8" width="9.85546875" style="20" bestFit="1" customWidth="1"/>
    <col min="9" max="10" width="9.85546875" style="20" customWidth="1"/>
    <col min="11" max="11" width="9.5703125" style="20" customWidth="1"/>
    <col min="12" max="12" width="9.85546875" style="20" customWidth="1"/>
    <col min="13" max="15" width="9.5703125" style="20" customWidth="1"/>
    <col min="16" max="16" width="9.85546875" style="20" customWidth="1"/>
    <col min="17" max="19" width="9.5703125" style="20" customWidth="1"/>
    <col min="20" max="21" width="9.85546875" style="20" customWidth="1"/>
    <col min="22" max="16384" width="9.140625" style="20"/>
  </cols>
  <sheetData>
    <row r="1" spans="1:6" ht="13.5" x14ac:dyDescent="0.25">
      <c r="A1" s="112" t="str">
        <f>_MEB11</f>
        <v>GREATER TZANEEN ECONOMIC DEVELOPMENT AGENCY - Supporting Table SD11 External mechanisms</v>
      </c>
    </row>
    <row r="2" spans="1:6" ht="38.25" x14ac:dyDescent="0.25">
      <c r="A2" s="318" t="s">
        <v>275</v>
      </c>
      <c r="B2" s="677" t="str">
        <f>head27</f>
        <v>Ref</v>
      </c>
      <c r="C2" s="212" t="s">
        <v>857</v>
      </c>
      <c r="D2" s="213" t="s">
        <v>279</v>
      </c>
      <c r="E2" s="671" t="s">
        <v>277</v>
      </c>
      <c r="F2" s="674" t="s">
        <v>856</v>
      </c>
    </row>
    <row r="3" spans="1:6" ht="24" customHeight="1" x14ac:dyDescent="0.25">
      <c r="A3" s="347" t="s">
        <v>276</v>
      </c>
      <c r="B3" s="678"/>
      <c r="C3" s="128" t="s">
        <v>324</v>
      </c>
      <c r="D3" s="211"/>
      <c r="E3" s="672"/>
      <c r="F3" s="675"/>
    </row>
    <row r="4" spans="1:6" ht="13.5" customHeight="1" x14ac:dyDescent="0.25">
      <c r="A4" s="208" t="s">
        <v>206</v>
      </c>
      <c r="B4" s="349"/>
      <c r="C4" s="214"/>
      <c r="D4" s="214"/>
      <c r="E4" s="673"/>
      <c r="F4" s="676"/>
    </row>
    <row r="5" spans="1:6" ht="12.75" customHeight="1" x14ac:dyDescent="0.25">
      <c r="A5" s="348"/>
      <c r="B5" s="350"/>
      <c r="C5" s="315"/>
      <c r="D5" s="315"/>
      <c r="E5" s="315"/>
      <c r="F5" s="525"/>
    </row>
    <row r="6" spans="1:6" ht="12.75" customHeight="1" x14ac:dyDescent="0.25">
      <c r="A6" s="297"/>
      <c r="B6" s="351"/>
      <c r="C6" s="316"/>
      <c r="D6" s="316"/>
      <c r="E6" s="316"/>
      <c r="F6" s="271"/>
    </row>
    <row r="7" spans="1:6" ht="12.75" customHeight="1" x14ac:dyDescent="0.25">
      <c r="A7" s="297"/>
      <c r="B7" s="351"/>
      <c r="C7" s="316"/>
      <c r="D7" s="316"/>
      <c r="E7" s="316"/>
      <c r="F7" s="271"/>
    </row>
    <row r="8" spans="1:6" ht="12.75" customHeight="1" x14ac:dyDescent="0.25">
      <c r="A8" s="297"/>
      <c r="B8" s="351"/>
      <c r="C8" s="316"/>
      <c r="D8" s="316"/>
      <c r="E8" s="316"/>
      <c r="F8" s="271"/>
    </row>
    <row r="9" spans="1:6" ht="12.75" customHeight="1" x14ac:dyDescent="0.25">
      <c r="A9" s="297"/>
      <c r="B9" s="351"/>
      <c r="C9" s="316"/>
      <c r="D9" s="316"/>
      <c r="E9" s="316"/>
      <c r="F9" s="271"/>
    </row>
    <row r="10" spans="1:6" ht="12.75" customHeight="1" x14ac:dyDescent="0.25">
      <c r="A10" s="297"/>
      <c r="B10" s="351"/>
      <c r="C10" s="316"/>
      <c r="D10" s="316"/>
      <c r="E10" s="316"/>
      <c r="F10" s="271"/>
    </row>
    <row r="11" spans="1:6" ht="12.75" customHeight="1" x14ac:dyDescent="0.25">
      <c r="A11" s="297"/>
      <c r="B11" s="351"/>
      <c r="C11" s="316"/>
      <c r="D11" s="316"/>
      <c r="E11" s="316"/>
      <c r="F11" s="271"/>
    </row>
    <row r="12" spans="1:6" ht="12.75" customHeight="1" x14ac:dyDescent="0.25">
      <c r="A12" s="297"/>
      <c r="B12" s="351"/>
      <c r="C12" s="316"/>
      <c r="D12" s="316"/>
      <c r="E12" s="316"/>
      <c r="F12" s="271"/>
    </row>
    <row r="13" spans="1:6" ht="12.75" customHeight="1" x14ac:dyDescent="0.25">
      <c r="A13" s="297"/>
      <c r="B13" s="351"/>
      <c r="C13" s="316"/>
      <c r="D13" s="316"/>
      <c r="E13" s="316"/>
      <c r="F13" s="271"/>
    </row>
    <row r="14" spans="1:6" ht="12.75" customHeight="1" x14ac:dyDescent="0.25">
      <c r="A14" s="297"/>
      <c r="B14" s="351"/>
      <c r="C14" s="316"/>
      <c r="D14" s="316"/>
      <c r="E14" s="316"/>
      <c r="F14" s="271"/>
    </row>
    <row r="15" spans="1:6" ht="12.75" customHeight="1" x14ac:dyDescent="0.25">
      <c r="A15" s="297"/>
      <c r="B15" s="351"/>
      <c r="C15" s="316"/>
      <c r="D15" s="316"/>
      <c r="E15" s="316"/>
      <c r="F15" s="271"/>
    </row>
    <row r="16" spans="1:6" ht="12.75" customHeight="1" x14ac:dyDescent="0.25">
      <c r="A16" s="297"/>
      <c r="B16" s="351"/>
      <c r="C16" s="316"/>
      <c r="D16" s="316"/>
      <c r="E16" s="316"/>
      <c r="F16" s="271"/>
    </row>
    <row r="17" spans="1:12" ht="12.75" customHeight="1" x14ac:dyDescent="0.25">
      <c r="A17" s="297"/>
      <c r="B17" s="351"/>
      <c r="C17" s="316"/>
      <c r="D17" s="316"/>
      <c r="E17" s="316"/>
      <c r="F17" s="271"/>
    </row>
    <row r="18" spans="1:12" ht="12.75" customHeight="1" x14ac:dyDescent="0.25">
      <c r="A18" s="297"/>
      <c r="B18" s="351"/>
      <c r="C18" s="316"/>
      <c r="D18" s="316"/>
      <c r="E18" s="316"/>
      <c r="F18" s="271"/>
    </row>
    <row r="19" spans="1:12" ht="12.75" customHeight="1" x14ac:dyDescent="0.25">
      <c r="A19" s="297"/>
      <c r="B19" s="351"/>
      <c r="C19" s="316"/>
      <c r="D19" s="316"/>
      <c r="E19" s="316"/>
      <c r="F19" s="271"/>
    </row>
    <row r="20" spans="1:12" ht="12.75" customHeight="1" x14ac:dyDescent="0.25">
      <c r="A20" s="297"/>
      <c r="B20" s="351"/>
      <c r="C20" s="316"/>
      <c r="D20" s="316"/>
      <c r="E20" s="316"/>
      <c r="F20" s="271"/>
    </row>
    <row r="21" spans="1:12" ht="12.75" customHeight="1" x14ac:dyDescent="0.25">
      <c r="A21" s="297"/>
      <c r="B21" s="351"/>
      <c r="C21" s="316"/>
      <c r="D21" s="316"/>
      <c r="E21" s="316"/>
      <c r="F21" s="271"/>
    </row>
    <row r="22" spans="1:12" ht="12.75" customHeight="1" x14ac:dyDescent="0.25">
      <c r="A22" s="297"/>
      <c r="B22" s="351"/>
      <c r="C22" s="316"/>
      <c r="D22" s="316"/>
      <c r="E22" s="316"/>
      <c r="F22" s="271"/>
    </row>
    <row r="23" spans="1:12" ht="12.75" customHeight="1" x14ac:dyDescent="0.25">
      <c r="A23" s="297"/>
      <c r="B23" s="351"/>
      <c r="C23" s="316"/>
      <c r="D23" s="316"/>
      <c r="E23" s="316"/>
      <c r="F23" s="271"/>
    </row>
    <row r="24" spans="1:12" ht="12.75" customHeight="1" x14ac:dyDescent="0.25">
      <c r="A24" s="32"/>
      <c r="B24" s="352"/>
      <c r="C24" s="526"/>
      <c r="D24" s="526"/>
      <c r="E24" s="526"/>
      <c r="F24" s="133">
        <f>SUM(F5:F23)</f>
        <v>0</v>
      </c>
    </row>
    <row r="25" spans="1:12" ht="12.75" customHeight="1" x14ac:dyDescent="0.25">
      <c r="A25" s="35" t="str">
        <f>head27a</f>
        <v>References</v>
      </c>
      <c r="B25" s="36"/>
      <c r="C25" s="52"/>
      <c r="D25" s="52"/>
      <c r="E25" s="52"/>
      <c r="F25" s="52"/>
      <c r="J25" s="42"/>
      <c r="K25" s="42"/>
      <c r="L25" s="42"/>
    </row>
    <row r="26" spans="1:12" ht="12.75" customHeight="1" x14ac:dyDescent="0.25">
      <c r="A26" s="47" t="s">
        <v>278</v>
      </c>
      <c r="B26" s="36"/>
      <c r="C26" s="39"/>
      <c r="D26" s="38"/>
      <c r="E26" s="39"/>
      <c r="F26" s="39"/>
    </row>
    <row r="27" spans="1:12" ht="12.75" customHeight="1" x14ac:dyDescent="0.25">
      <c r="A27" s="47" t="s">
        <v>280</v>
      </c>
      <c r="B27" s="36"/>
      <c r="C27" s="52"/>
      <c r="D27" s="52"/>
      <c r="E27" s="52"/>
      <c r="F27" s="52"/>
    </row>
    <row r="28" spans="1:12" ht="11.25" customHeight="1" x14ac:dyDescent="0.25"/>
    <row r="29" spans="1:12" ht="11.25" customHeight="1" x14ac:dyDescent="0.25"/>
    <row r="30" spans="1:12" ht="11.25" customHeight="1" x14ac:dyDescent="0.25"/>
    <row r="31" spans="1:12" ht="11.25" customHeight="1" x14ac:dyDescent="0.25"/>
    <row r="32" spans="1:12"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3">
    <mergeCell ref="E2:E4"/>
    <mergeCell ref="F2:F4"/>
    <mergeCell ref="B2:B3"/>
  </mergeCells>
  <phoneticPr fontId="2" type="noConversion"/>
  <printOptions horizontalCentered="1"/>
  <pageMargins left="0.37" right="0.14000000000000001" top="0.79" bottom="0.6" header="0.51181102362204722" footer="0.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indexed="40"/>
    <pageSetUpPr fitToPage="1"/>
  </sheetPr>
  <dimension ref="A1:N104"/>
  <sheetViews>
    <sheetView workbookViewId="0">
      <pane ySplit="1" topLeftCell="A71" activePane="bottomLeft" state="frozen"/>
      <selection activeCell="M29" sqref="M29"/>
      <selection pane="bottomLeft" activeCell="B92" sqref="B92"/>
    </sheetView>
  </sheetViews>
  <sheetFormatPr defaultRowHeight="11.25" x14ac:dyDescent="0.2"/>
  <cols>
    <col min="1" max="1" width="10.7109375" style="6" customWidth="1"/>
    <col min="2" max="2" width="68.7109375" style="1" bestFit="1" customWidth="1"/>
    <col min="3" max="3" width="28.85546875" style="1" bestFit="1" customWidth="1"/>
    <col min="4" max="4" width="16.140625" style="1" customWidth="1"/>
    <col min="5" max="8" width="9.140625" style="6"/>
    <col min="9" max="16384" width="9.140625" style="1"/>
  </cols>
  <sheetData>
    <row r="1" spans="1:4" x14ac:dyDescent="0.2">
      <c r="A1" s="617" t="s">
        <v>181</v>
      </c>
      <c r="B1" s="618"/>
      <c r="C1" s="618"/>
      <c r="D1" s="619"/>
    </row>
    <row r="2" spans="1:4" x14ac:dyDescent="0.2">
      <c r="A2" s="10" t="s">
        <v>391</v>
      </c>
      <c r="B2" s="507" t="str">
        <f>HLOOKUP(MTREF,Headings,2)</f>
        <v>2016/17</v>
      </c>
      <c r="C2" s="508" t="s">
        <v>541</v>
      </c>
      <c r="D2" s="503"/>
    </row>
    <row r="3" spans="1:4" x14ac:dyDescent="0.2">
      <c r="A3" s="2" t="s">
        <v>128</v>
      </c>
      <c r="B3" s="509" t="str">
        <f>HLOOKUP(MTREF,Headings,3)</f>
        <v>2015/16</v>
      </c>
      <c r="C3" s="510" t="s">
        <v>542</v>
      </c>
      <c r="D3" s="504"/>
    </row>
    <row r="4" spans="1:4" x14ac:dyDescent="0.2">
      <c r="A4" s="2" t="s">
        <v>196</v>
      </c>
      <c r="B4" s="509" t="str">
        <f>HLOOKUP(MTREF,Headings,4)</f>
        <v>2014/15</v>
      </c>
      <c r="C4" s="510" t="s">
        <v>543</v>
      </c>
      <c r="D4" s="504"/>
    </row>
    <row r="5" spans="1:4" x14ac:dyDescent="0.2">
      <c r="A5" s="2" t="s">
        <v>410</v>
      </c>
      <c r="B5" s="510" t="str">
        <f>HLOOKUP(MTREF,Headings,5)</f>
        <v>Current Year 2017/18</v>
      </c>
      <c r="C5" s="510" t="s">
        <v>544</v>
      </c>
      <c r="D5" s="504"/>
    </row>
    <row r="6" spans="1:4" x14ac:dyDescent="0.2">
      <c r="A6" s="2" t="s">
        <v>222</v>
      </c>
      <c r="B6" s="509" t="str">
        <f>HLOOKUP(MTREF,Headings,6)</f>
        <v>2017/18</v>
      </c>
      <c r="C6" s="510" t="s">
        <v>544</v>
      </c>
      <c r="D6" s="504"/>
    </row>
    <row r="7" spans="1:4" x14ac:dyDescent="0.2">
      <c r="A7" s="2" t="s">
        <v>411</v>
      </c>
      <c r="B7" s="510" t="str">
        <f>HLOOKUP(MTREF,Headings,7)</f>
        <v>2018/19 Medium Term Revenue &amp; Expenditure Framework</v>
      </c>
      <c r="C7" s="510" t="s">
        <v>545</v>
      </c>
      <c r="D7" s="504"/>
    </row>
    <row r="8" spans="1:4" x14ac:dyDescent="0.2">
      <c r="A8" s="2" t="s">
        <v>464</v>
      </c>
      <c r="B8" s="4" t="s">
        <v>341</v>
      </c>
      <c r="C8" s="4"/>
      <c r="D8" s="8"/>
    </row>
    <row r="9" spans="1:4" x14ac:dyDescent="0.2">
      <c r="A9" s="2" t="s">
        <v>412</v>
      </c>
      <c r="B9" s="4" t="s">
        <v>147</v>
      </c>
      <c r="C9" s="4"/>
      <c r="D9" s="8"/>
    </row>
    <row r="10" spans="1:4" x14ac:dyDescent="0.2">
      <c r="A10" s="2" t="s">
        <v>413</v>
      </c>
      <c r="B10" s="4" t="s">
        <v>82</v>
      </c>
      <c r="C10" s="4"/>
      <c r="D10" s="8"/>
    </row>
    <row r="11" spans="1:4" x14ac:dyDescent="0.2">
      <c r="A11" s="2" t="s">
        <v>102</v>
      </c>
      <c r="B11" s="4" t="s">
        <v>103</v>
      </c>
      <c r="C11" s="4"/>
      <c r="D11" s="8"/>
    </row>
    <row r="12" spans="1:4" x14ac:dyDescent="0.2">
      <c r="A12" s="2" t="s">
        <v>459</v>
      </c>
      <c r="B12" s="4" t="s">
        <v>460</v>
      </c>
      <c r="C12" s="4"/>
      <c r="D12" s="8"/>
    </row>
    <row r="13" spans="1:4" x14ac:dyDescent="0.2">
      <c r="A13" s="2" t="s">
        <v>414</v>
      </c>
      <c r="B13" s="4" t="s">
        <v>153</v>
      </c>
      <c r="C13" s="4"/>
      <c r="D13" s="8"/>
    </row>
    <row r="14" spans="1:4" x14ac:dyDescent="0.2">
      <c r="A14" s="2" t="s">
        <v>415</v>
      </c>
      <c r="B14" s="4" t="s">
        <v>342</v>
      </c>
      <c r="C14" s="4"/>
      <c r="D14" s="8"/>
    </row>
    <row r="15" spans="1:4" x14ac:dyDescent="0.2">
      <c r="A15" s="2" t="s">
        <v>416</v>
      </c>
      <c r="B15" s="4" t="s">
        <v>343</v>
      </c>
      <c r="C15" s="4"/>
      <c r="D15" s="8"/>
    </row>
    <row r="16" spans="1:4" x14ac:dyDescent="0.2">
      <c r="A16" s="2" t="s">
        <v>417</v>
      </c>
      <c r="B16" s="510" t="str">
        <f>HLOOKUP(MTREF,Headings,8)</f>
        <v>Budget Year 2018/19</v>
      </c>
      <c r="C16" s="510" t="s">
        <v>546</v>
      </c>
      <c r="D16" s="13" t="s">
        <v>234</v>
      </c>
    </row>
    <row r="17" spans="1:4" x14ac:dyDescent="0.2">
      <c r="A17" s="2" t="s">
        <v>418</v>
      </c>
      <c r="B17" s="510" t="str">
        <f>HLOOKUP(MTREF,Headings,9)</f>
        <v>Budget Year +1 2019/20</v>
      </c>
      <c r="C17" s="510" t="s">
        <v>547</v>
      </c>
      <c r="D17" s="13" t="s">
        <v>235</v>
      </c>
    </row>
    <row r="18" spans="1:4" x14ac:dyDescent="0.2">
      <c r="A18" s="2" t="s">
        <v>420</v>
      </c>
      <c r="B18" s="510" t="str">
        <f>HLOOKUP(MTREF,Headings,10)</f>
        <v>Budget Year +2 2020/21</v>
      </c>
      <c r="C18" s="510" t="s">
        <v>548</v>
      </c>
      <c r="D18" s="13" t="s">
        <v>236</v>
      </c>
    </row>
    <row r="19" spans="1:4" x14ac:dyDescent="0.2">
      <c r="A19" s="2" t="s">
        <v>421</v>
      </c>
      <c r="B19" s="510" t="str">
        <f>HLOOKUP(MTREF,Headings,11)</f>
        <v>Forecast 2021/22</v>
      </c>
      <c r="C19" s="510" t="s">
        <v>549</v>
      </c>
      <c r="D19" s="13" t="s">
        <v>237</v>
      </c>
    </row>
    <row r="20" spans="1:4" x14ac:dyDescent="0.2">
      <c r="A20" s="2" t="s">
        <v>422</v>
      </c>
      <c r="B20" s="510" t="str">
        <f>HLOOKUP(MTREF,Headings,12)</f>
        <v>Forecast 2022/23</v>
      </c>
      <c r="C20" s="510" t="s">
        <v>550</v>
      </c>
      <c r="D20" s="13" t="s">
        <v>238</v>
      </c>
    </row>
    <row r="21" spans="1:4" x14ac:dyDescent="0.2">
      <c r="A21" s="2" t="s">
        <v>423</v>
      </c>
      <c r="B21" s="510" t="str">
        <f>HLOOKUP(MTREF,Headings,13)</f>
        <v>Forecast 2023/24</v>
      </c>
      <c r="C21" s="510" t="s">
        <v>550</v>
      </c>
      <c r="D21" s="13" t="s">
        <v>239</v>
      </c>
    </row>
    <row r="22" spans="1:4" x14ac:dyDescent="0.2">
      <c r="A22" s="2" t="s">
        <v>424</v>
      </c>
      <c r="B22" s="510" t="str">
        <f>HLOOKUP(MTREF,Headings,14)</f>
        <v>Forecast 2024/25</v>
      </c>
      <c r="C22" s="510" t="s">
        <v>550</v>
      </c>
      <c r="D22" s="13" t="s">
        <v>240</v>
      </c>
    </row>
    <row r="23" spans="1:4" x14ac:dyDescent="0.2">
      <c r="A23" s="2" t="s">
        <v>425</v>
      </c>
      <c r="B23" s="510" t="str">
        <f>HLOOKUP(MTREF,Headings,15)</f>
        <v>Forecast 2025/26</v>
      </c>
      <c r="C23" s="510" t="s">
        <v>550</v>
      </c>
      <c r="D23" s="13" t="s">
        <v>241</v>
      </c>
    </row>
    <row r="24" spans="1:4" x14ac:dyDescent="0.2">
      <c r="A24" s="2" t="s">
        <v>426</v>
      </c>
      <c r="B24" s="510" t="str">
        <f>HLOOKUP(MTREF,Headings,16)</f>
        <v>Forecast 2026/27</v>
      </c>
      <c r="C24" s="510" t="s">
        <v>550</v>
      </c>
      <c r="D24" s="13" t="s">
        <v>242</v>
      </c>
    </row>
    <row r="25" spans="1:4" x14ac:dyDescent="0.2">
      <c r="A25" s="2" t="s">
        <v>427</v>
      </c>
      <c r="B25" s="510" t="str">
        <f>HLOOKUP(MTREF,Headings,17)</f>
        <v>Forecast 2027/28</v>
      </c>
      <c r="C25" s="510" t="s">
        <v>550</v>
      </c>
      <c r="D25" s="13" t="s">
        <v>162</v>
      </c>
    </row>
    <row r="26" spans="1:4" x14ac:dyDescent="0.2">
      <c r="A26" s="2" t="s">
        <v>428</v>
      </c>
      <c r="B26" s="510" t="str">
        <f>HLOOKUP(MTREF,Headings,18)</f>
        <v>Forecast 2028/29</v>
      </c>
      <c r="C26" s="510" t="s">
        <v>550</v>
      </c>
      <c r="D26" s="13" t="s">
        <v>48</v>
      </c>
    </row>
    <row r="27" spans="1:4" x14ac:dyDescent="0.2">
      <c r="A27" s="2" t="s">
        <v>429</v>
      </c>
      <c r="B27" s="510" t="str">
        <f>HLOOKUP(MTREF,Headings,19)</f>
        <v>Forecast 2029/30</v>
      </c>
      <c r="C27" s="510" t="s">
        <v>550</v>
      </c>
      <c r="D27" s="13" t="s">
        <v>49</v>
      </c>
    </row>
    <row r="28" spans="1:4" x14ac:dyDescent="0.2">
      <c r="A28" s="2" t="s">
        <v>430</v>
      </c>
      <c r="B28" s="510" t="str">
        <f>HLOOKUP(MTREF,Headings,20)</f>
        <v>Forecast 2030/31</v>
      </c>
      <c r="C28" s="510" t="s">
        <v>550</v>
      </c>
      <c r="D28" s="13" t="s">
        <v>50</v>
      </c>
    </row>
    <row r="29" spans="1:4" x14ac:dyDescent="0.2">
      <c r="A29" s="2" t="s">
        <v>431</v>
      </c>
      <c r="B29" s="510" t="str">
        <f>HLOOKUP(MTREF,Headings,21)</f>
        <v>Forecast 2031/32</v>
      </c>
      <c r="C29" s="510" t="s">
        <v>550</v>
      </c>
      <c r="D29" s="13" t="s">
        <v>51</v>
      </c>
    </row>
    <row r="30" spans="1:4" x14ac:dyDescent="0.2">
      <c r="A30" s="2" t="s">
        <v>432</v>
      </c>
      <c r="B30" s="510" t="str">
        <f>HLOOKUP(MTREF,Headings,22)</f>
        <v>Forecast 2032/33</v>
      </c>
      <c r="C30" s="510" t="s">
        <v>550</v>
      </c>
      <c r="D30" s="13" t="s">
        <v>52</v>
      </c>
    </row>
    <row r="31" spans="1:4" x14ac:dyDescent="0.2">
      <c r="A31" s="2" t="s">
        <v>164</v>
      </c>
      <c r="B31" s="4" t="s">
        <v>212</v>
      </c>
      <c r="C31" s="4"/>
      <c r="D31" s="13" t="s">
        <v>165</v>
      </c>
    </row>
    <row r="32" spans="1:4" x14ac:dyDescent="0.2">
      <c r="A32" s="2" t="s">
        <v>99</v>
      </c>
      <c r="B32" s="4" t="s">
        <v>5</v>
      </c>
      <c r="C32" s="4"/>
      <c r="D32" s="13" t="s">
        <v>100</v>
      </c>
    </row>
    <row r="33" spans="1:4" x14ac:dyDescent="0.2">
      <c r="A33" s="2" t="s">
        <v>197</v>
      </c>
      <c r="B33" s="4" t="s">
        <v>198</v>
      </c>
      <c r="C33" s="4"/>
      <c r="D33" s="13" t="s">
        <v>199</v>
      </c>
    </row>
    <row r="34" spans="1:4" x14ac:dyDescent="0.2">
      <c r="A34" s="2" t="s">
        <v>200</v>
      </c>
      <c r="B34" s="4" t="s">
        <v>118</v>
      </c>
      <c r="C34" s="4"/>
      <c r="D34" s="13"/>
    </row>
    <row r="35" spans="1:4" x14ac:dyDescent="0.2">
      <c r="A35" s="2" t="s">
        <v>184</v>
      </c>
      <c r="B35" s="4" t="s">
        <v>185</v>
      </c>
      <c r="C35" s="4"/>
      <c r="D35" s="13"/>
    </row>
    <row r="36" spans="1:4" x14ac:dyDescent="0.2">
      <c r="A36" s="2" t="s">
        <v>114</v>
      </c>
      <c r="B36" s="4" t="s">
        <v>383</v>
      </c>
      <c r="C36" s="4"/>
      <c r="D36" s="13" t="s">
        <v>115</v>
      </c>
    </row>
    <row r="37" spans="1:4" x14ac:dyDescent="0.2">
      <c r="A37" s="2" t="s">
        <v>286</v>
      </c>
      <c r="B37" s="510" t="str">
        <f>HLOOKUP(MTREF,Headings,23)</f>
        <v>Annual target 2018/19</v>
      </c>
      <c r="C37" s="4"/>
      <c r="D37" s="13"/>
    </row>
    <row r="38" spans="1:4" x14ac:dyDescent="0.2">
      <c r="A38" s="2" t="s">
        <v>287</v>
      </c>
      <c r="B38" s="510" t="str">
        <f>HLOOKUP(MTREF,Headings,24)</f>
        <v>Revised target 2018/19</v>
      </c>
      <c r="C38" s="4"/>
      <c r="D38" s="13"/>
    </row>
    <row r="39" spans="1:4" x14ac:dyDescent="0.2">
      <c r="A39" s="2" t="s">
        <v>288</v>
      </c>
      <c r="B39" s="4" t="s">
        <v>85</v>
      </c>
      <c r="C39" s="4"/>
      <c r="D39" s="13"/>
    </row>
    <row r="40" spans="1:4" x14ac:dyDescent="0.2">
      <c r="A40" s="2" t="s">
        <v>289</v>
      </c>
      <c r="B40" s="4" t="s">
        <v>155</v>
      </c>
      <c r="C40" s="4"/>
      <c r="D40" s="13"/>
    </row>
    <row r="41" spans="1:4" x14ac:dyDescent="0.2">
      <c r="A41" s="2" t="s">
        <v>290</v>
      </c>
      <c r="B41" s="4" t="s">
        <v>156</v>
      </c>
      <c r="C41" s="4"/>
      <c r="D41" s="13"/>
    </row>
    <row r="42" spans="1:4" x14ac:dyDescent="0.2">
      <c r="A42" s="2" t="s">
        <v>291</v>
      </c>
      <c r="B42" s="4" t="s">
        <v>83</v>
      </c>
      <c r="C42" s="4"/>
      <c r="D42" s="13"/>
    </row>
    <row r="43" spans="1:4" x14ac:dyDescent="0.2">
      <c r="A43" s="2" t="s">
        <v>84</v>
      </c>
      <c r="B43" s="4" t="s">
        <v>133</v>
      </c>
      <c r="C43" s="4"/>
      <c r="D43" s="13"/>
    </row>
    <row r="44" spans="1:4" x14ac:dyDescent="0.2">
      <c r="A44" s="2" t="s">
        <v>265</v>
      </c>
      <c r="B44" s="4" t="s">
        <v>214</v>
      </c>
      <c r="C44" s="4"/>
      <c r="D44" s="13"/>
    </row>
    <row r="45" spans="1:4" x14ac:dyDescent="0.2">
      <c r="A45" s="2" t="s">
        <v>266</v>
      </c>
      <c r="B45" s="4" t="s">
        <v>215</v>
      </c>
      <c r="C45" s="4"/>
      <c r="D45" s="13"/>
    </row>
    <row r="46" spans="1:4" x14ac:dyDescent="0.2">
      <c r="A46" s="2" t="s">
        <v>267</v>
      </c>
      <c r="B46" s="4" t="s">
        <v>272</v>
      </c>
      <c r="C46" s="4"/>
      <c r="D46" s="13"/>
    </row>
    <row r="47" spans="1:4" x14ac:dyDescent="0.2">
      <c r="A47" s="2" t="s">
        <v>271</v>
      </c>
      <c r="B47" s="4" t="s">
        <v>253</v>
      </c>
      <c r="C47" s="4"/>
      <c r="D47" s="13"/>
    </row>
    <row r="48" spans="1:4" x14ac:dyDescent="0.2">
      <c r="A48" s="2" t="s">
        <v>70</v>
      </c>
      <c r="B48" s="7" t="s">
        <v>254</v>
      </c>
      <c r="C48" s="4"/>
      <c r="D48" s="13"/>
    </row>
    <row r="49" spans="1:4" x14ac:dyDescent="0.2">
      <c r="A49" s="2" t="s">
        <v>71</v>
      </c>
      <c r="B49" s="7" t="s">
        <v>302</v>
      </c>
      <c r="C49" s="4"/>
      <c r="D49" s="13"/>
    </row>
    <row r="50" spans="1:4" x14ac:dyDescent="0.2">
      <c r="A50" s="2" t="s">
        <v>72</v>
      </c>
      <c r="B50" s="7" t="s">
        <v>45</v>
      </c>
      <c r="C50" s="4"/>
      <c r="D50" s="13"/>
    </row>
    <row r="51" spans="1:4" x14ac:dyDescent="0.2">
      <c r="A51" s="2" t="s">
        <v>301</v>
      </c>
      <c r="B51" s="7" t="str">
        <f>Head3&amp;" Summary"</f>
        <v>2018/19 Medium Term Revenue &amp; Expenditure Framework Summary</v>
      </c>
      <c r="C51" s="4"/>
      <c r="D51" s="13"/>
    </row>
    <row r="52" spans="1:4" x14ac:dyDescent="0.2">
      <c r="A52" s="2" t="s">
        <v>157</v>
      </c>
      <c r="B52" s="7" t="s">
        <v>160</v>
      </c>
      <c r="C52" s="4"/>
      <c r="D52" s="13"/>
    </row>
    <row r="53" spans="1:4" x14ac:dyDescent="0.2">
      <c r="A53" s="2" t="s">
        <v>158</v>
      </c>
      <c r="B53" s="7" t="s">
        <v>159</v>
      </c>
      <c r="C53" s="4"/>
      <c r="D53" s="13"/>
    </row>
    <row r="54" spans="1:4" x14ac:dyDescent="0.2">
      <c r="A54" s="2" t="s">
        <v>406</v>
      </c>
      <c r="B54" s="15" t="s">
        <v>36</v>
      </c>
      <c r="C54" s="16"/>
      <c r="D54" s="13"/>
    </row>
    <row r="55" spans="1:4" x14ac:dyDescent="0.2">
      <c r="A55" s="2" t="s">
        <v>183</v>
      </c>
      <c r="B55" s="7" t="s">
        <v>167</v>
      </c>
      <c r="C55" s="4"/>
      <c r="D55" s="13"/>
    </row>
    <row r="56" spans="1:4" x14ac:dyDescent="0.2">
      <c r="A56" s="2" t="s">
        <v>122</v>
      </c>
      <c r="B56" s="7" t="s">
        <v>8</v>
      </c>
      <c r="C56" s="4"/>
      <c r="D56" s="13"/>
    </row>
    <row r="57" spans="1:4" x14ac:dyDescent="0.2">
      <c r="A57" s="2" t="s">
        <v>171</v>
      </c>
      <c r="B57" s="7" t="s">
        <v>173</v>
      </c>
      <c r="C57" s="4"/>
      <c r="D57" s="13"/>
    </row>
    <row r="58" spans="1:4" x14ac:dyDescent="0.2">
      <c r="A58" s="2" t="s">
        <v>172</v>
      </c>
      <c r="B58" s="7" t="s">
        <v>337</v>
      </c>
      <c r="C58" s="4"/>
      <c r="D58" s="13"/>
    </row>
    <row r="59" spans="1:4" x14ac:dyDescent="0.2">
      <c r="A59" s="2" t="s">
        <v>332</v>
      </c>
      <c r="B59" s="7" t="s">
        <v>336</v>
      </c>
      <c r="C59" s="4"/>
      <c r="D59" s="13"/>
    </row>
    <row r="60" spans="1:4" x14ac:dyDescent="0.2">
      <c r="A60" s="2" t="s">
        <v>333</v>
      </c>
      <c r="B60" s="7" t="s">
        <v>34</v>
      </c>
      <c r="C60" s="4"/>
      <c r="D60" s="13"/>
    </row>
    <row r="61" spans="1:4" x14ac:dyDescent="0.2">
      <c r="A61" s="2" t="s">
        <v>334</v>
      </c>
      <c r="B61" s="7" t="s">
        <v>338</v>
      </c>
      <c r="C61" s="4"/>
      <c r="D61" s="13"/>
    </row>
    <row r="62" spans="1:4" x14ac:dyDescent="0.2">
      <c r="A62" s="2" t="s">
        <v>335</v>
      </c>
      <c r="B62" s="7" t="s">
        <v>456</v>
      </c>
      <c r="C62" s="4"/>
      <c r="D62" s="13"/>
    </row>
    <row r="63" spans="1:4" x14ac:dyDescent="0.2">
      <c r="A63" s="2" t="s">
        <v>202</v>
      </c>
      <c r="B63" s="7" t="s">
        <v>33</v>
      </c>
      <c r="C63" s="4"/>
      <c r="D63" s="13"/>
    </row>
    <row r="64" spans="1:4" x14ac:dyDescent="0.2">
      <c r="A64" s="2" t="s">
        <v>310</v>
      </c>
      <c r="B64" s="7" t="s">
        <v>311</v>
      </c>
      <c r="C64" s="4"/>
      <c r="D64" s="13"/>
    </row>
    <row r="65" spans="1:14" x14ac:dyDescent="0.2">
      <c r="A65" s="2" t="s">
        <v>251</v>
      </c>
      <c r="B65" s="7" t="s">
        <v>252</v>
      </c>
      <c r="C65" s="4"/>
      <c r="D65" s="13"/>
    </row>
    <row r="66" spans="1:14" x14ac:dyDescent="0.2">
      <c r="A66" s="2" t="s">
        <v>461</v>
      </c>
      <c r="B66" s="7" t="s">
        <v>462</v>
      </c>
      <c r="C66" s="4"/>
      <c r="D66" s="13"/>
    </row>
    <row r="67" spans="1:14" x14ac:dyDescent="0.2">
      <c r="A67" s="2" t="s">
        <v>463</v>
      </c>
      <c r="B67" s="7" t="s">
        <v>166</v>
      </c>
      <c r="C67" s="4"/>
      <c r="D67" s="13"/>
    </row>
    <row r="68" spans="1:14" x14ac:dyDescent="0.2">
      <c r="A68" s="2" t="s">
        <v>360</v>
      </c>
      <c r="B68" s="7" t="s">
        <v>358</v>
      </c>
      <c r="C68" s="4"/>
      <c r="D68" s="13"/>
    </row>
    <row r="69" spans="1:14" x14ac:dyDescent="0.2">
      <c r="A69" s="2" t="s">
        <v>361</v>
      </c>
      <c r="B69" s="7" t="s">
        <v>359</v>
      </c>
      <c r="C69" s="4"/>
      <c r="D69" s="13"/>
    </row>
    <row r="70" spans="1:14" x14ac:dyDescent="0.2">
      <c r="A70" s="2" t="s">
        <v>362</v>
      </c>
      <c r="B70" s="7" t="s">
        <v>364</v>
      </c>
      <c r="C70" s="4"/>
      <c r="D70" s="13"/>
    </row>
    <row r="71" spans="1:14" x14ac:dyDescent="0.2">
      <c r="A71" s="2" t="s">
        <v>363</v>
      </c>
      <c r="B71" s="7" t="s">
        <v>192</v>
      </c>
      <c r="C71" s="4"/>
      <c r="D71" s="13"/>
    </row>
    <row r="72" spans="1:14" x14ac:dyDescent="0.2">
      <c r="A72" s="2" t="s">
        <v>193</v>
      </c>
      <c r="B72" s="7" t="s">
        <v>224</v>
      </c>
      <c r="C72" s="4"/>
      <c r="D72" s="13"/>
    </row>
    <row r="73" spans="1:14" x14ac:dyDescent="0.2">
      <c r="A73" s="2" t="s">
        <v>194</v>
      </c>
      <c r="B73" s="7" t="s">
        <v>225</v>
      </c>
      <c r="C73" s="4"/>
      <c r="D73" s="13"/>
    </row>
    <row r="74" spans="1:14" x14ac:dyDescent="0.2">
      <c r="A74" s="2" t="s">
        <v>227</v>
      </c>
      <c r="B74" s="7" t="s">
        <v>226</v>
      </c>
      <c r="C74" s="4"/>
      <c r="D74" s="13"/>
    </row>
    <row r="75" spans="1:14" ht="12.75" x14ac:dyDescent="0.2">
      <c r="A75" s="617" t="s">
        <v>274</v>
      </c>
      <c r="B75" s="618"/>
      <c r="C75" s="618"/>
      <c r="D75" s="619"/>
      <c r="E75"/>
      <c r="F75"/>
      <c r="G75"/>
      <c r="H75"/>
      <c r="I75"/>
      <c r="J75"/>
      <c r="K75"/>
      <c r="L75"/>
      <c r="M75"/>
      <c r="N75"/>
    </row>
    <row r="76" spans="1:14" ht="12.75" x14ac:dyDescent="0.2">
      <c r="A76" s="221" t="s">
        <v>195</v>
      </c>
      <c r="B76" s="219" t="s">
        <v>1066</v>
      </c>
      <c r="C76" s="219"/>
      <c r="D76" s="18"/>
      <c r="E76"/>
      <c r="F76"/>
      <c r="G76"/>
      <c r="H76"/>
      <c r="I76"/>
      <c r="J76"/>
      <c r="K76"/>
      <c r="L76"/>
      <c r="M76"/>
      <c r="N76"/>
    </row>
    <row r="77" spans="1:14" ht="12.75" x14ac:dyDescent="0.2">
      <c r="A77" s="12" t="s">
        <v>63</v>
      </c>
      <c r="B77" s="222"/>
      <c r="C77" s="222"/>
      <c r="D77" s="14"/>
      <c r="E77"/>
      <c r="F77"/>
      <c r="G77"/>
      <c r="H77"/>
      <c r="I77"/>
      <c r="J77"/>
      <c r="K77"/>
      <c r="L77"/>
      <c r="M77"/>
      <c r="N77"/>
    </row>
    <row r="78" spans="1:14" x14ac:dyDescent="0.2">
      <c r="A78" s="620" t="s">
        <v>189</v>
      </c>
      <c r="B78" s="621"/>
      <c r="C78" s="17"/>
      <c r="D78" s="17" t="s">
        <v>472</v>
      </c>
    </row>
    <row r="79" spans="1:14" x14ac:dyDescent="0.2">
      <c r="A79" s="11"/>
      <c r="B79" s="5" t="s">
        <v>270</v>
      </c>
      <c r="C79" s="5"/>
      <c r="D79" s="13"/>
    </row>
    <row r="80" spans="1:14" x14ac:dyDescent="0.2">
      <c r="A80" s="218" t="s">
        <v>204</v>
      </c>
      <c r="B80" s="219" t="str">
        <f>entity&amp;" - "&amp;D80&amp;"Budget Summary"</f>
        <v>GREATER TZANEEN ECONOMIC DEVELOPMENT AGENCY - Table D1 Budget Summary</v>
      </c>
      <c r="C80" s="219"/>
      <c r="D80" s="18" t="s">
        <v>552</v>
      </c>
    </row>
    <row r="81" spans="1:4" x14ac:dyDescent="0.2">
      <c r="A81" s="11" t="s">
        <v>216</v>
      </c>
      <c r="B81" s="4" t="str">
        <f>entity&amp;" - "&amp;D81&amp;"Budgeted Financial Performance (revenue and expenditure)"</f>
        <v>GREATER TZANEEN ECONOMIC DEVELOPMENT AGENCY - Table D2 Budgeted Financial Performance (revenue and expenditure)</v>
      </c>
      <c r="C81" s="4"/>
      <c r="D81" s="13" t="s">
        <v>553</v>
      </c>
    </row>
    <row r="82" spans="1:4" x14ac:dyDescent="0.2">
      <c r="A82" s="11" t="s">
        <v>466</v>
      </c>
      <c r="B82" s="4" t="s">
        <v>471</v>
      </c>
      <c r="C82" s="4"/>
      <c r="D82" s="13"/>
    </row>
    <row r="83" spans="1:4" x14ac:dyDescent="0.2">
      <c r="A83" s="11" t="s">
        <v>217</v>
      </c>
      <c r="B83" s="4" t="str">
        <f>entity&amp;" - "&amp;D83&amp;"Capital Budget by asset class and funding"</f>
        <v>GREATER TZANEEN ECONOMIC DEVELOPMENT AGENCY - Table D3 Capital Budget by asset class and funding</v>
      </c>
      <c r="C83" s="4"/>
      <c r="D83" s="13" t="s">
        <v>554</v>
      </c>
    </row>
    <row r="84" spans="1:4" x14ac:dyDescent="0.2">
      <c r="A84" s="11" t="s">
        <v>218</v>
      </c>
      <c r="B84" s="4" t="str">
        <f>entity&amp;" - "&amp;D84&amp; "Budgeted Financial Position"</f>
        <v>GREATER TZANEEN ECONOMIC DEVELOPMENT AGENCY - Table D4 Budgeted Financial Position</v>
      </c>
      <c r="C84" s="4"/>
      <c r="D84" s="13" t="s">
        <v>555</v>
      </c>
    </row>
    <row r="85" spans="1:4" x14ac:dyDescent="0.2">
      <c r="A85" s="12" t="s">
        <v>219</v>
      </c>
      <c r="B85" s="9" t="str">
        <f>entity&amp;" - "&amp;D85&amp; "Budgeted Cash Flow"</f>
        <v>GREATER TZANEEN ECONOMIC DEVELOPMENT AGENCY - Table D5 Budgeted Cash Flow</v>
      </c>
      <c r="C85" s="9"/>
      <c r="D85" s="14" t="s">
        <v>556</v>
      </c>
    </row>
    <row r="86" spans="1:4" x14ac:dyDescent="0.2">
      <c r="A86" s="11" t="s">
        <v>221</v>
      </c>
      <c r="B86" s="4" t="str">
        <f>entity&amp;" - "&amp;D86&amp;"Measurable performance targets"</f>
        <v>GREATER TZANEEN ECONOMIC DEVELOPMENT AGENCY - Supporting Table SD1 Measurable performance targets</v>
      </c>
      <c r="C86" s="4"/>
      <c r="D86" s="13" t="s">
        <v>610</v>
      </c>
    </row>
    <row r="87" spans="1:4" x14ac:dyDescent="0.2">
      <c r="A87" s="11" t="s">
        <v>247</v>
      </c>
      <c r="B87" s="4" t="str">
        <f>entity&amp;" - "&amp;D87&amp; " Financial and non-financial indicators"</f>
        <v>GREATER TZANEEN ECONOMIC DEVELOPMENT AGENCY - Supporting Table SD2 Financial and non-financial indicators</v>
      </c>
      <c r="C87" s="4"/>
      <c r="D87" s="13" t="s">
        <v>611</v>
      </c>
    </row>
    <row r="88" spans="1:4" x14ac:dyDescent="0.2">
      <c r="A88" s="11" t="s">
        <v>220</v>
      </c>
      <c r="B88" s="4" t="str">
        <f>entity&amp;" - "&amp;D88&amp;" Budgeted Investment Portfolio"</f>
        <v>GREATER TZANEEN ECONOMIC DEVELOPMENT AGENCY - Supporting Table SD3 Budgeted Investment Portfolio</v>
      </c>
      <c r="C88" s="4"/>
      <c r="D88" s="13" t="s">
        <v>612</v>
      </c>
    </row>
    <row r="89" spans="1:4" x14ac:dyDescent="0.2">
      <c r="A89" s="11" t="s">
        <v>836</v>
      </c>
      <c r="B89" s="4" t="str">
        <f>entity&amp;" - "&amp;D89&amp;" Board member allowances and staff benefits"</f>
        <v>GREATER TZANEEN ECONOMIC DEVELOPMENT AGENCY - Supporting Table SD4 Board member allowances and staff benefits</v>
      </c>
      <c r="C89" s="4"/>
      <c r="D89" s="13" t="s">
        <v>613</v>
      </c>
    </row>
    <row r="90" spans="1:4" x14ac:dyDescent="0.2">
      <c r="A90" s="11" t="s">
        <v>837</v>
      </c>
      <c r="B90" s="4" t="str">
        <f>entity&amp;" - "&amp;D90&amp;" Summary of personnel numbers"</f>
        <v>GREATER TZANEEN ECONOMIC DEVELOPMENT AGENCY - Supporting Table SD5 Summary of personnel numbers</v>
      </c>
      <c r="C90" s="4"/>
      <c r="D90" s="13" t="s">
        <v>614</v>
      </c>
    </row>
    <row r="91" spans="1:4" x14ac:dyDescent="0.2">
      <c r="A91" s="11" t="s">
        <v>381</v>
      </c>
      <c r="B91" s="4" t="str">
        <f>entity&amp;" - "&amp;D91&amp;" Budgeted monthly cash and revenue/expenditure"</f>
        <v>GREATER TZANEEN ECONOMIC DEVELOPMENT AGENCY - Supporting Table SD6 Budgeted monthly cash and revenue/expenditure</v>
      </c>
      <c r="C91" s="4"/>
      <c r="D91" s="13" t="s">
        <v>615</v>
      </c>
    </row>
    <row r="92" spans="1:4" x14ac:dyDescent="0.2">
      <c r="A92" s="11" t="s">
        <v>838</v>
      </c>
      <c r="B92" s="4" t="str">
        <f>entity&amp;" - "&amp;D92&amp;" Capital expenditure on new assets by asset class"</f>
        <v>GREATER TZANEEN ECONOMIC DEVELOPMENT AGENCY - Supporting Table SD7a Capital expenditure on new assets by asset class</v>
      </c>
      <c r="C92" s="4"/>
      <c r="D92" s="13" t="s">
        <v>843</v>
      </c>
    </row>
    <row r="93" spans="1:4" x14ac:dyDescent="0.2">
      <c r="A93" s="11" t="s">
        <v>839</v>
      </c>
      <c r="B93" s="4" t="str">
        <f>entity&amp;" - "&amp;D93&amp;" Capital expenditure on renewal of existing assets by asset class"</f>
        <v>GREATER TZANEEN ECONOMIC DEVELOPMENT AGENCY - Supporting Table SD7b Capital expenditure on renewal of existing assets by asset class</v>
      </c>
      <c r="C93" s="4"/>
      <c r="D93" s="13" t="s">
        <v>844</v>
      </c>
    </row>
    <row r="94" spans="1:4" x14ac:dyDescent="0.2">
      <c r="A94" s="11" t="s">
        <v>840</v>
      </c>
      <c r="B94" s="4" t="str">
        <f>entity&amp;" - "&amp;D94&amp;" Expenditure on repairs and maintenance by asset class"</f>
        <v>GREATER TZANEEN ECONOMIC DEVELOPMENT AGENCY - Supporting Table SD7c Expenditure on repairs and maintenance by asset class</v>
      </c>
      <c r="C94" s="4"/>
      <c r="D94" s="13" t="s">
        <v>845</v>
      </c>
    </row>
    <row r="95" spans="1:4" x14ac:dyDescent="0.2">
      <c r="A95" s="607" t="s">
        <v>1062</v>
      </c>
      <c r="B95" s="4" t="str">
        <f>entity&amp;" - "&amp;D95&amp;" Depreciation by asset class"</f>
        <v>GREATER TZANEEN ECONOMIC DEVELOPMENT AGENCY - Supporting Table SD7d Depreciation by asset class</v>
      </c>
      <c r="C95" s="4"/>
      <c r="D95" s="608" t="s">
        <v>1064</v>
      </c>
    </row>
    <row r="96" spans="1:4" x14ac:dyDescent="0.2">
      <c r="A96" s="607" t="s">
        <v>1063</v>
      </c>
      <c r="B96" s="4" t="str">
        <f>entity&amp;" - "&amp;D96&amp;" Capital expenditure on upgrading of existing assets by asset class"</f>
        <v>GREATER TZANEEN ECONOMIC DEVELOPMENT AGENCY - Supporting Table SD7e Capital expenditure on upgrading of existing assets by asset class</v>
      </c>
      <c r="C96" s="4"/>
      <c r="D96" s="608" t="s">
        <v>1065</v>
      </c>
    </row>
    <row r="97" spans="1:4" x14ac:dyDescent="0.2">
      <c r="A97" s="11" t="s">
        <v>841</v>
      </c>
      <c r="B97" s="4" t="str">
        <f>entity&amp;" - "&amp;D97&amp;" Future financial implications of the capital expenditure budget"</f>
        <v>GREATER TZANEEN ECONOMIC DEVELOPMENT AGENCY - Supporting Table SD8 Future financial implications of the capital expenditure budget</v>
      </c>
      <c r="C97" s="4"/>
      <c r="D97" s="13" t="s">
        <v>846</v>
      </c>
    </row>
    <row r="98" spans="1:4" x14ac:dyDescent="0.2">
      <c r="A98" s="11" t="s">
        <v>842</v>
      </c>
      <c r="B98" s="4" t="str">
        <f>entity&amp;" - "&amp;D98&amp;" Detailed capital budget"</f>
        <v>GREATER TZANEEN ECONOMIC DEVELOPMENT AGENCY - Supporting Table SD9 Detailed capital budget</v>
      </c>
      <c r="C98" s="4"/>
      <c r="D98" s="13" t="s">
        <v>616</v>
      </c>
    </row>
    <row r="99" spans="1:4" x14ac:dyDescent="0.2">
      <c r="A99" s="11" t="s">
        <v>435</v>
      </c>
      <c r="B99" s="4" t="str">
        <f>entity&amp;" - "&amp;D99&amp;" Long term contracts"</f>
        <v>GREATER TZANEEN ECONOMIC DEVELOPMENT AGENCY - Supporting Table SD10 Long term contracts</v>
      </c>
      <c r="C99" s="4"/>
      <c r="D99" s="13" t="s">
        <v>617</v>
      </c>
    </row>
    <row r="100" spans="1:4" x14ac:dyDescent="0.2">
      <c r="A100" s="12" t="s">
        <v>436</v>
      </c>
      <c r="B100" s="9" t="str">
        <f>entity&amp;" - "&amp;D100&amp;" External mechanisms"</f>
        <v>GREATER TZANEEN ECONOMIC DEVELOPMENT AGENCY - Supporting Table SD11 External mechanisms</v>
      </c>
      <c r="C100" s="9"/>
      <c r="D100" s="13" t="s">
        <v>618</v>
      </c>
    </row>
    <row r="101" spans="1:4" x14ac:dyDescent="0.2">
      <c r="A101" s="1"/>
    </row>
    <row r="102" spans="1:4" x14ac:dyDescent="0.2">
      <c r="A102" s="1"/>
    </row>
    <row r="103" spans="1:4" x14ac:dyDescent="0.2">
      <c r="A103" s="1"/>
    </row>
    <row r="104" spans="1:4" x14ac:dyDescent="0.2">
      <c r="D104" s="3"/>
    </row>
  </sheetData>
  <sheetProtection selectLockedCells="1"/>
  <mergeCells count="3">
    <mergeCell ref="A1:D1"/>
    <mergeCell ref="A75:D75"/>
    <mergeCell ref="A78:B78"/>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SaveForUsers">
                <anchor moveWithCells="1" sizeWithCells="1">
                  <from>
                    <xdr:col>2</xdr:col>
                    <xdr:colOff>685800</xdr:colOff>
                    <xdr:row>1</xdr:row>
                    <xdr:rowOff>95250</xdr:rowOff>
                  </from>
                  <to>
                    <xdr:col>2</xdr:col>
                    <xdr:colOff>1885950</xdr:colOff>
                    <xdr:row>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1"/>
  </sheetPr>
  <dimension ref="A1:U312"/>
  <sheetViews>
    <sheetView topLeftCell="A27" workbookViewId="0">
      <selection activeCell="B27" sqref="B27"/>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bestFit="1" customWidth="1"/>
    <col min="16" max="16" width="1.28515625" style="1" customWidth="1"/>
    <col min="17" max="17" width="9.140625" style="1"/>
    <col min="18" max="18" width="24.140625" style="1" bestFit="1" customWidth="1"/>
    <col min="19" max="19" width="17.5703125" style="1" bestFit="1" customWidth="1"/>
    <col min="20" max="20" width="22.5703125" style="1" bestFit="1" customWidth="1"/>
    <col min="21" max="21" width="14.7109375" style="1" bestFit="1" customWidth="1"/>
    <col min="22" max="16384" width="9.140625" style="1"/>
  </cols>
  <sheetData>
    <row r="1" spans="1:21" s="220" customFormat="1" x14ac:dyDescent="0.2">
      <c r="A1" s="319" t="s">
        <v>212</v>
      </c>
      <c r="B1" s="320">
        <v>2007</v>
      </c>
      <c r="C1" s="320">
        <v>2008</v>
      </c>
      <c r="D1" s="320">
        <v>2009</v>
      </c>
      <c r="E1" s="321">
        <v>2010</v>
      </c>
      <c r="F1" s="320">
        <v>2011</v>
      </c>
      <c r="G1" s="321">
        <v>2012</v>
      </c>
      <c r="H1" s="320">
        <v>2013</v>
      </c>
      <c r="I1" s="321">
        <v>2014</v>
      </c>
      <c r="J1" s="320">
        <v>2015</v>
      </c>
      <c r="K1" s="321">
        <v>2016</v>
      </c>
      <c r="L1" s="320">
        <v>2017</v>
      </c>
      <c r="M1" s="321">
        <v>2018</v>
      </c>
      <c r="N1" s="320">
        <v>2019</v>
      </c>
      <c r="O1" s="321">
        <v>2020</v>
      </c>
      <c r="P1" s="322"/>
      <c r="Q1" s="323" t="s">
        <v>496</v>
      </c>
      <c r="R1" s="323" t="s">
        <v>497</v>
      </c>
      <c r="S1" s="323" t="s">
        <v>498</v>
      </c>
      <c r="T1" s="323" t="s">
        <v>499</v>
      </c>
      <c r="U1" s="323" t="s">
        <v>500</v>
      </c>
    </row>
    <row r="2" spans="1:21" x14ac:dyDescent="0.2">
      <c r="A2" s="7" t="str">
        <f>'Template names'!C2</f>
        <v>Prior year -1</v>
      </c>
      <c r="B2" s="4" t="s">
        <v>501</v>
      </c>
      <c r="C2" s="4" t="s">
        <v>105</v>
      </c>
      <c r="D2" s="4" t="s">
        <v>502</v>
      </c>
      <c r="E2" s="324" t="str">
        <f t="shared" ref="E2:O2" si="0">E1-2&amp;"/"&amp;RIGHT(E1,2)-1</f>
        <v>2008/9</v>
      </c>
      <c r="F2" s="324" t="str">
        <f t="shared" si="0"/>
        <v>2009/10</v>
      </c>
      <c r="G2" s="324" t="str">
        <f t="shared" si="0"/>
        <v>2010/11</v>
      </c>
      <c r="H2" s="324" t="str">
        <f t="shared" si="0"/>
        <v>2011/12</v>
      </c>
      <c r="I2" s="324" t="str">
        <f t="shared" si="0"/>
        <v>2012/13</v>
      </c>
      <c r="J2" s="324" t="str">
        <f t="shared" si="0"/>
        <v>2013/14</v>
      </c>
      <c r="K2" s="324" t="str">
        <f t="shared" si="0"/>
        <v>2014/15</v>
      </c>
      <c r="L2" s="324" t="str">
        <f t="shared" si="0"/>
        <v>2015/16</v>
      </c>
      <c r="M2" s="324" t="str">
        <f t="shared" si="0"/>
        <v>2016/17</v>
      </c>
      <c r="N2" s="324" t="str">
        <f t="shared" si="0"/>
        <v>2017/18</v>
      </c>
      <c r="O2" s="324" t="str">
        <f t="shared" si="0"/>
        <v>2018/19</v>
      </c>
      <c r="P2" s="4"/>
      <c r="R2" s="1" t="s">
        <v>504</v>
      </c>
      <c r="S2" s="1" t="s">
        <v>505</v>
      </c>
      <c r="T2" s="1" t="s">
        <v>506</v>
      </c>
    </row>
    <row r="3" spans="1:21" x14ac:dyDescent="0.2">
      <c r="A3" s="7" t="str">
        <f>'Template names'!C3</f>
        <v>Prior year -2</v>
      </c>
      <c r="B3" s="4" t="s">
        <v>80</v>
      </c>
      <c r="C3" s="4" t="s">
        <v>501</v>
      </c>
      <c r="D3" s="4" t="s">
        <v>105</v>
      </c>
      <c r="E3" s="324" t="str">
        <f t="shared" ref="E3:O3" si="1">E1-3&amp;"/"&amp;RIGHT(E1,2)-2</f>
        <v>2007/8</v>
      </c>
      <c r="F3" s="324" t="str">
        <f t="shared" si="1"/>
        <v>2008/9</v>
      </c>
      <c r="G3" s="324" t="str">
        <f t="shared" si="1"/>
        <v>2009/10</v>
      </c>
      <c r="H3" s="324" t="str">
        <f t="shared" si="1"/>
        <v>2010/11</v>
      </c>
      <c r="I3" s="324" t="str">
        <f t="shared" si="1"/>
        <v>2011/12</v>
      </c>
      <c r="J3" s="324" t="str">
        <f t="shared" si="1"/>
        <v>2012/13</v>
      </c>
      <c r="K3" s="324" t="str">
        <f t="shared" si="1"/>
        <v>2013/14</v>
      </c>
      <c r="L3" s="324" t="str">
        <f t="shared" si="1"/>
        <v>2014/15</v>
      </c>
      <c r="M3" s="324" t="str">
        <f t="shared" si="1"/>
        <v>2015/16</v>
      </c>
      <c r="N3" s="324" t="str">
        <f t="shared" si="1"/>
        <v>2016/17</v>
      </c>
      <c r="O3" s="324" t="str">
        <f t="shared" si="1"/>
        <v>2017/18</v>
      </c>
      <c r="P3" s="4"/>
      <c r="R3" s="1" t="s">
        <v>507</v>
      </c>
      <c r="S3" s="1" t="s">
        <v>508</v>
      </c>
      <c r="T3" s="1" t="s">
        <v>509</v>
      </c>
    </row>
    <row r="4" spans="1:21" x14ac:dyDescent="0.2">
      <c r="A4" s="7" t="str">
        <f>'Template names'!C4</f>
        <v>Prior year -3</v>
      </c>
      <c r="B4" s="4" t="s">
        <v>81</v>
      </c>
      <c r="C4" s="4" t="s">
        <v>80</v>
      </c>
      <c r="D4" s="4" t="s">
        <v>501</v>
      </c>
      <c r="E4" s="324" t="str">
        <f t="shared" ref="E4:O4" si="2">E1-4&amp;"/"&amp;RIGHT(E1,2)-3</f>
        <v>2006/7</v>
      </c>
      <c r="F4" s="324" t="str">
        <f t="shared" si="2"/>
        <v>2007/8</v>
      </c>
      <c r="G4" s="324" t="str">
        <f t="shared" si="2"/>
        <v>2008/9</v>
      </c>
      <c r="H4" s="324" t="str">
        <f t="shared" si="2"/>
        <v>2009/10</v>
      </c>
      <c r="I4" s="324" t="str">
        <f t="shared" si="2"/>
        <v>2010/11</v>
      </c>
      <c r="J4" s="324" t="str">
        <f t="shared" si="2"/>
        <v>2011/12</v>
      </c>
      <c r="K4" s="324" t="str">
        <f t="shared" si="2"/>
        <v>2012/13</v>
      </c>
      <c r="L4" s="324" t="str">
        <f t="shared" si="2"/>
        <v>2013/14</v>
      </c>
      <c r="M4" s="324" t="str">
        <f t="shared" si="2"/>
        <v>2014/15</v>
      </c>
      <c r="N4" s="324" t="str">
        <f t="shared" si="2"/>
        <v>2015/16</v>
      </c>
      <c r="O4" s="324" t="str">
        <f t="shared" si="2"/>
        <v>2016/17</v>
      </c>
      <c r="P4" s="4"/>
      <c r="R4" s="1" t="s">
        <v>510</v>
      </c>
      <c r="S4" s="1" t="s">
        <v>511</v>
      </c>
      <c r="T4" s="1" t="s">
        <v>512</v>
      </c>
    </row>
    <row r="5" spans="1:21" x14ac:dyDescent="0.2">
      <c r="A5" s="7" t="str">
        <f>'Template names'!C5</f>
        <v>Year in which budget is being prepared</v>
      </c>
      <c r="B5" s="4" t="s">
        <v>513</v>
      </c>
      <c r="C5" s="4" t="s">
        <v>514</v>
      </c>
      <c r="D5" s="4" t="s">
        <v>515</v>
      </c>
      <c r="E5" s="324" t="str">
        <f t="shared" ref="E5:O5" si="3">"Current Year "&amp; E1-1&amp;"/"&amp;RIGHT(E1,2)</f>
        <v>Current Year 2009/10</v>
      </c>
      <c r="F5" s="324" t="str">
        <f t="shared" si="3"/>
        <v>Current Year 2010/11</v>
      </c>
      <c r="G5" s="324" t="str">
        <f t="shared" si="3"/>
        <v>Current Year 2011/12</v>
      </c>
      <c r="H5" s="324" t="str">
        <f t="shared" si="3"/>
        <v>Current Year 2012/13</v>
      </c>
      <c r="I5" s="324" t="str">
        <f t="shared" si="3"/>
        <v>Current Year 2013/14</v>
      </c>
      <c r="J5" s="324" t="str">
        <f t="shared" si="3"/>
        <v>Current Year 2014/15</v>
      </c>
      <c r="K5" s="324" t="str">
        <f t="shared" si="3"/>
        <v>Current Year 2015/16</v>
      </c>
      <c r="L5" s="324" t="str">
        <f t="shared" si="3"/>
        <v>Current Year 2016/17</v>
      </c>
      <c r="M5" s="324" t="str">
        <f t="shared" si="3"/>
        <v>Current Year 2017/18</v>
      </c>
      <c r="N5" s="324" t="str">
        <f t="shared" si="3"/>
        <v>Current Year 2018/19</v>
      </c>
      <c r="O5" s="324" t="str">
        <f t="shared" si="3"/>
        <v>Current Year 2019/20</v>
      </c>
      <c r="P5" s="4"/>
      <c r="R5" s="1" t="s">
        <v>516</v>
      </c>
      <c r="S5" s="1" t="s">
        <v>517</v>
      </c>
      <c r="T5" s="1" t="s">
        <v>518</v>
      </c>
    </row>
    <row r="6" spans="1:21" x14ac:dyDescent="0.2">
      <c r="A6" s="7" t="str">
        <f>'Template names'!C6</f>
        <v>Year in which budget is being prepared</v>
      </c>
      <c r="B6" s="4" t="s">
        <v>105</v>
      </c>
      <c r="C6" s="4" t="s">
        <v>502</v>
      </c>
      <c r="D6" s="4" t="s">
        <v>503</v>
      </c>
      <c r="E6" s="324" t="str">
        <f t="shared" ref="E6:O6" si="4">E1-1&amp;"/"&amp;RIGHT(E1,2)</f>
        <v>2009/10</v>
      </c>
      <c r="F6" s="324" t="str">
        <f t="shared" si="4"/>
        <v>2010/11</v>
      </c>
      <c r="G6" s="324" t="str">
        <f t="shared" si="4"/>
        <v>2011/12</v>
      </c>
      <c r="H6" s="324" t="str">
        <f t="shared" si="4"/>
        <v>2012/13</v>
      </c>
      <c r="I6" s="324" t="str">
        <f t="shared" si="4"/>
        <v>2013/14</v>
      </c>
      <c r="J6" s="324" t="str">
        <f t="shared" si="4"/>
        <v>2014/15</v>
      </c>
      <c r="K6" s="324" t="str">
        <f t="shared" si="4"/>
        <v>2015/16</v>
      </c>
      <c r="L6" s="324" t="str">
        <f t="shared" si="4"/>
        <v>2016/17</v>
      </c>
      <c r="M6" s="324" t="str">
        <f t="shared" si="4"/>
        <v>2017/18</v>
      </c>
      <c r="N6" s="324" t="str">
        <f t="shared" si="4"/>
        <v>2018/19</v>
      </c>
      <c r="O6" s="324" t="str">
        <f t="shared" si="4"/>
        <v>2019/20</v>
      </c>
      <c r="P6" s="4"/>
      <c r="R6" s="1" t="s">
        <v>519</v>
      </c>
      <c r="T6" s="1" t="s">
        <v>520</v>
      </c>
    </row>
    <row r="7" spans="1:21" x14ac:dyDescent="0.2">
      <c r="A7" s="7" t="str">
        <f>'Template names'!C7</f>
        <v>MTREF name</v>
      </c>
      <c r="B7" s="4" t="s">
        <v>521</v>
      </c>
      <c r="C7" s="4" t="s">
        <v>522</v>
      </c>
      <c r="D7" s="4" t="s">
        <v>523</v>
      </c>
      <c r="E7" s="324" t="str">
        <f t="shared" ref="E7:O7" si="5">E1&amp;"/"&amp;RIGHT(E1,2)+1&amp;" Medium Term Revenue &amp; Expenditure Framework"</f>
        <v>2010/11 Medium Term Revenue &amp; Expenditure Framework</v>
      </c>
      <c r="F7" s="324" t="str">
        <f t="shared" si="5"/>
        <v>2011/12 Medium Term Revenue &amp; Expenditure Framework</v>
      </c>
      <c r="G7" s="324" t="str">
        <f t="shared" si="5"/>
        <v>2012/13 Medium Term Revenue &amp; Expenditure Framework</v>
      </c>
      <c r="H7" s="324" t="str">
        <f t="shared" si="5"/>
        <v>2013/14 Medium Term Revenue &amp; Expenditure Framework</v>
      </c>
      <c r="I7" s="324" t="str">
        <f t="shared" si="5"/>
        <v>2014/15 Medium Term Revenue &amp; Expenditure Framework</v>
      </c>
      <c r="J7" s="324" t="str">
        <f t="shared" si="5"/>
        <v>2015/16 Medium Term Revenue &amp; Expenditure Framework</v>
      </c>
      <c r="K7" s="324" t="str">
        <f t="shared" si="5"/>
        <v>2016/17 Medium Term Revenue &amp; Expenditure Framework</v>
      </c>
      <c r="L7" s="324" t="str">
        <f t="shared" si="5"/>
        <v>2017/18 Medium Term Revenue &amp; Expenditure Framework</v>
      </c>
      <c r="M7" s="324" t="str">
        <f t="shared" si="5"/>
        <v>2018/19 Medium Term Revenue &amp; Expenditure Framework</v>
      </c>
      <c r="N7" s="324" t="str">
        <f t="shared" si="5"/>
        <v>2019/20 Medium Term Revenue &amp; Expenditure Framework</v>
      </c>
      <c r="O7" s="324" t="str">
        <f t="shared" si="5"/>
        <v>2020/21 Medium Term Revenue &amp; Expenditure Framework</v>
      </c>
      <c r="P7" s="4"/>
      <c r="R7" s="1" t="s">
        <v>524</v>
      </c>
    </row>
    <row r="8" spans="1:21" x14ac:dyDescent="0.2">
      <c r="A8" s="7" t="str">
        <f>'Template names'!C16</f>
        <v>1st year of MTREF</v>
      </c>
      <c r="B8" s="4" t="s">
        <v>525</v>
      </c>
      <c r="C8" s="4" t="s">
        <v>526</v>
      </c>
      <c r="D8" s="4" t="s">
        <v>527</v>
      </c>
      <c r="E8" s="324" t="str">
        <f t="shared" ref="E8:O8" si="6">"Budget Year "&amp;E1&amp;"/"&amp;RIGHT(E1,2)+1</f>
        <v>Budget Year 2010/11</v>
      </c>
      <c r="F8" s="324" t="str">
        <f t="shared" si="6"/>
        <v>Budget Year 2011/12</v>
      </c>
      <c r="G8" s="324" t="str">
        <f t="shared" si="6"/>
        <v>Budget Year 2012/13</v>
      </c>
      <c r="H8" s="324" t="str">
        <f t="shared" si="6"/>
        <v>Budget Year 2013/14</v>
      </c>
      <c r="I8" s="324" t="str">
        <f t="shared" si="6"/>
        <v>Budget Year 2014/15</v>
      </c>
      <c r="J8" s="324" t="str">
        <f t="shared" si="6"/>
        <v>Budget Year 2015/16</v>
      </c>
      <c r="K8" s="324" t="str">
        <f t="shared" si="6"/>
        <v>Budget Year 2016/17</v>
      </c>
      <c r="L8" s="324" t="str">
        <f t="shared" si="6"/>
        <v>Budget Year 2017/18</v>
      </c>
      <c r="M8" s="324" t="str">
        <f t="shared" si="6"/>
        <v>Budget Year 2018/19</v>
      </c>
      <c r="N8" s="324" t="str">
        <f t="shared" si="6"/>
        <v>Budget Year 2019/20</v>
      </c>
      <c r="O8" s="324" t="str">
        <f t="shared" si="6"/>
        <v>Budget Year 2020/21</v>
      </c>
      <c r="P8" s="4"/>
    </row>
    <row r="9" spans="1:21" x14ac:dyDescent="0.2">
      <c r="A9" s="7" t="str">
        <f>'Template names'!C17</f>
        <v>2nd year of MTREF</v>
      </c>
      <c r="B9" s="4" t="s">
        <v>528</v>
      </c>
      <c r="C9" s="4" t="s">
        <v>529</v>
      </c>
      <c r="D9" s="4" t="s">
        <v>530</v>
      </c>
      <c r="E9" s="324" t="str">
        <f t="shared" ref="E9:O9" si="7">"Budget Year +1 "&amp;E1+1&amp;"/"&amp;RIGHT(E1,2)+2</f>
        <v>Budget Year +1 2011/12</v>
      </c>
      <c r="F9" s="324" t="str">
        <f t="shared" si="7"/>
        <v>Budget Year +1 2012/13</v>
      </c>
      <c r="G9" s="324" t="str">
        <f t="shared" si="7"/>
        <v>Budget Year +1 2013/14</v>
      </c>
      <c r="H9" s="324" t="str">
        <f t="shared" si="7"/>
        <v>Budget Year +1 2014/15</v>
      </c>
      <c r="I9" s="324" t="str">
        <f t="shared" si="7"/>
        <v>Budget Year +1 2015/16</v>
      </c>
      <c r="J9" s="324" t="str">
        <f t="shared" si="7"/>
        <v>Budget Year +1 2016/17</v>
      </c>
      <c r="K9" s="324" t="str">
        <f t="shared" si="7"/>
        <v>Budget Year +1 2017/18</v>
      </c>
      <c r="L9" s="324" t="str">
        <f t="shared" si="7"/>
        <v>Budget Year +1 2018/19</v>
      </c>
      <c r="M9" s="324" t="str">
        <f t="shared" si="7"/>
        <v>Budget Year +1 2019/20</v>
      </c>
      <c r="N9" s="324" t="str">
        <f t="shared" si="7"/>
        <v>Budget Year +1 2020/21</v>
      </c>
      <c r="O9" s="324" t="str">
        <f t="shared" si="7"/>
        <v>Budget Year +1 2021/22</v>
      </c>
      <c r="P9" s="4"/>
      <c r="R9" s="326"/>
    </row>
    <row r="10" spans="1:21" x14ac:dyDescent="0.2">
      <c r="A10" s="7" t="str">
        <f>'Template names'!C18</f>
        <v>3rd year of MTREF</v>
      </c>
      <c r="B10" s="4" t="s">
        <v>531</v>
      </c>
      <c r="C10" s="4" t="s">
        <v>532</v>
      </c>
      <c r="D10" s="4" t="s">
        <v>533</v>
      </c>
      <c r="E10" s="324" t="str">
        <f t="shared" ref="E10:O10" si="8">"Budget Year +2 "&amp;E1+2&amp;"/"&amp;RIGHT(E1,2)+3</f>
        <v>Budget Year +2 2012/13</v>
      </c>
      <c r="F10" s="324" t="str">
        <f t="shared" si="8"/>
        <v>Budget Year +2 2013/14</v>
      </c>
      <c r="G10" s="324" t="str">
        <f t="shared" si="8"/>
        <v>Budget Year +2 2014/15</v>
      </c>
      <c r="H10" s="324" t="str">
        <f t="shared" si="8"/>
        <v>Budget Year +2 2015/16</v>
      </c>
      <c r="I10" s="324" t="str">
        <f t="shared" si="8"/>
        <v>Budget Year +2 2016/17</v>
      </c>
      <c r="J10" s="324" t="str">
        <f t="shared" si="8"/>
        <v>Budget Year +2 2017/18</v>
      </c>
      <c r="K10" s="324" t="str">
        <f t="shared" si="8"/>
        <v>Budget Year +2 2018/19</v>
      </c>
      <c r="L10" s="324" t="str">
        <f t="shared" si="8"/>
        <v>Budget Year +2 2019/20</v>
      </c>
      <c r="M10" s="324" t="str">
        <f t="shared" si="8"/>
        <v>Budget Year +2 2020/21</v>
      </c>
      <c r="N10" s="324" t="str">
        <f t="shared" si="8"/>
        <v>Budget Year +2 2021/22</v>
      </c>
      <c r="O10" s="324" t="str">
        <f t="shared" si="8"/>
        <v>Budget Year +2 2022/23</v>
      </c>
      <c r="P10" s="4"/>
    </row>
    <row r="11" spans="1:21" x14ac:dyDescent="0.2">
      <c r="A11" s="7" t="str">
        <f>'Template names'!C19</f>
        <v>1st yr of long term forecast</v>
      </c>
      <c r="B11" s="4" t="s">
        <v>243</v>
      </c>
      <c r="C11" s="4" t="s">
        <v>244</v>
      </c>
      <c r="D11" s="4" t="s">
        <v>245</v>
      </c>
      <c r="E11" s="324" t="str">
        <f t="shared" ref="E11:O11" si="9">"Forecast "&amp;E1+3&amp;"/"&amp;RIGHT(E1,2)+4</f>
        <v>Forecast 2013/14</v>
      </c>
      <c r="F11" s="324" t="str">
        <f t="shared" si="9"/>
        <v>Forecast 2014/15</v>
      </c>
      <c r="G11" s="324" t="str">
        <f t="shared" si="9"/>
        <v>Forecast 2015/16</v>
      </c>
      <c r="H11" s="324" t="str">
        <f t="shared" si="9"/>
        <v>Forecast 2016/17</v>
      </c>
      <c r="I11" s="324" t="str">
        <f t="shared" si="9"/>
        <v>Forecast 2017/18</v>
      </c>
      <c r="J11" s="324" t="str">
        <f t="shared" si="9"/>
        <v>Forecast 2018/19</v>
      </c>
      <c r="K11" s="324" t="str">
        <f t="shared" si="9"/>
        <v>Forecast 2019/20</v>
      </c>
      <c r="L11" s="324" t="str">
        <f t="shared" si="9"/>
        <v>Forecast 2020/21</v>
      </c>
      <c r="M11" s="324" t="str">
        <f t="shared" si="9"/>
        <v>Forecast 2021/22</v>
      </c>
      <c r="N11" s="324" t="str">
        <f t="shared" si="9"/>
        <v>Forecast 2022/23</v>
      </c>
      <c r="O11" s="324" t="str">
        <f t="shared" si="9"/>
        <v>Forecast 2023/24</v>
      </c>
      <c r="P11" s="4"/>
    </row>
    <row r="12" spans="1:21" x14ac:dyDescent="0.2">
      <c r="A12" s="7" t="str">
        <f>'Template names'!C20</f>
        <v>Next yr of long term forecast</v>
      </c>
      <c r="B12" s="4" t="s">
        <v>244</v>
      </c>
      <c r="C12" s="4" t="s">
        <v>245</v>
      </c>
      <c r="D12" s="4" t="s">
        <v>246</v>
      </c>
      <c r="E12" s="324" t="str">
        <f t="shared" ref="E12:O12" si="10">"Forecast "&amp;E1+4&amp;"/"&amp;RIGHT(E1,2)+5</f>
        <v>Forecast 2014/15</v>
      </c>
      <c r="F12" s="324" t="str">
        <f t="shared" si="10"/>
        <v>Forecast 2015/16</v>
      </c>
      <c r="G12" s="324" t="str">
        <f t="shared" si="10"/>
        <v>Forecast 2016/17</v>
      </c>
      <c r="H12" s="324" t="str">
        <f t="shared" si="10"/>
        <v>Forecast 2017/18</v>
      </c>
      <c r="I12" s="324" t="str">
        <f t="shared" si="10"/>
        <v>Forecast 2018/19</v>
      </c>
      <c r="J12" s="324" t="str">
        <f t="shared" si="10"/>
        <v>Forecast 2019/20</v>
      </c>
      <c r="K12" s="324" t="str">
        <f t="shared" si="10"/>
        <v>Forecast 2020/21</v>
      </c>
      <c r="L12" s="324" t="str">
        <f t="shared" si="10"/>
        <v>Forecast 2021/22</v>
      </c>
      <c r="M12" s="324" t="str">
        <f t="shared" si="10"/>
        <v>Forecast 2022/23</v>
      </c>
      <c r="N12" s="324" t="str">
        <f t="shared" si="10"/>
        <v>Forecast 2023/24</v>
      </c>
      <c r="O12" s="324" t="str">
        <f t="shared" si="10"/>
        <v>Forecast 2024/25</v>
      </c>
      <c r="P12" s="4"/>
    </row>
    <row r="13" spans="1:21" x14ac:dyDescent="0.2">
      <c r="A13" s="7" t="str">
        <f>'Template names'!C21</f>
        <v>Next yr of long term forecast</v>
      </c>
      <c r="B13" s="4" t="s">
        <v>245</v>
      </c>
      <c r="C13" s="4" t="s">
        <v>246</v>
      </c>
      <c r="D13" s="4" t="s">
        <v>109</v>
      </c>
      <c r="E13" s="324" t="str">
        <f t="shared" ref="E13:O13" si="11">"Forecast "&amp;E1+5&amp;"/"&amp;RIGHT(E1,2)+6</f>
        <v>Forecast 2015/16</v>
      </c>
      <c r="F13" s="324" t="str">
        <f t="shared" si="11"/>
        <v>Forecast 2016/17</v>
      </c>
      <c r="G13" s="324" t="str">
        <f t="shared" si="11"/>
        <v>Forecast 2017/18</v>
      </c>
      <c r="H13" s="324" t="str">
        <f t="shared" si="11"/>
        <v>Forecast 2018/19</v>
      </c>
      <c r="I13" s="324" t="str">
        <f t="shared" si="11"/>
        <v>Forecast 2019/20</v>
      </c>
      <c r="J13" s="324" t="str">
        <f t="shared" si="11"/>
        <v>Forecast 2020/21</v>
      </c>
      <c r="K13" s="324" t="str">
        <f t="shared" si="11"/>
        <v>Forecast 2021/22</v>
      </c>
      <c r="L13" s="324" t="str">
        <f t="shared" si="11"/>
        <v>Forecast 2022/23</v>
      </c>
      <c r="M13" s="324" t="str">
        <f t="shared" si="11"/>
        <v>Forecast 2023/24</v>
      </c>
      <c r="N13" s="324" t="str">
        <f t="shared" si="11"/>
        <v>Forecast 2024/25</v>
      </c>
      <c r="O13" s="324" t="str">
        <f t="shared" si="11"/>
        <v>Forecast 2025/26</v>
      </c>
      <c r="P13" s="4"/>
    </row>
    <row r="14" spans="1:21" x14ac:dyDescent="0.2">
      <c r="A14" s="7" t="str">
        <f>'Template names'!C22</f>
        <v>Next yr of long term forecast</v>
      </c>
      <c r="B14" s="4" t="s">
        <v>246</v>
      </c>
      <c r="C14" s="4" t="s">
        <v>109</v>
      </c>
      <c r="D14" s="4" t="s">
        <v>110</v>
      </c>
      <c r="E14" s="324" t="str">
        <f t="shared" ref="E14:O14" si="12">"Forecast "&amp;E1+6&amp;"/"&amp;RIGHT(E1,2)+7</f>
        <v>Forecast 2016/17</v>
      </c>
      <c r="F14" s="324" t="str">
        <f t="shared" si="12"/>
        <v>Forecast 2017/18</v>
      </c>
      <c r="G14" s="324" t="str">
        <f t="shared" si="12"/>
        <v>Forecast 2018/19</v>
      </c>
      <c r="H14" s="324" t="str">
        <f t="shared" si="12"/>
        <v>Forecast 2019/20</v>
      </c>
      <c r="I14" s="324" t="str">
        <f t="shared" si="12"/>
        <v>Forecast 2020/21</v>
      </c>
      <c r="J14" s="324" t="str">
        <f t="shared" si="12"/>
        <v>Forecast 2021/22</v>
      </c>
      <c r="K14" s="324" t="str">
        <f t="shared" si="12"/>
        <v>Forecast 2022/23</v>
      </c>
      <c r="L14" s="324" t="str">
        <f t="shared" si="12"/>
        <v>Forecast 2023/24</v>
      </c>
      <c r="M14" s="324" t="str">
        <f t="shared" si="12"/>
        <v>Forecast 2024/25</v>
      </c>
      <c r="N14" s="324" t="str">
        <f t="shared" si="12"/>
        <v>Forecast 2025/26</v>
      </c>
      <c r="O14" s="324" t="str">
        <f t="shared" si="12"/>
        <v>Forecast 2026/27</v>
      </c>
      <c r="P14" s="4"/>
    </row>
    <row r="15" spans="1:21" x14ac:dyDescent="0.2">
      <c r="A15" s="7" t="str">
        <f>'Template names'!C23</f>
        <v>Next yr of long term forecast</v>
      </c>
      <c r="B15" s="4" t="s">
        <v>109</v>
      </c>
      <c r="C15" s="4" t="s">
        <v>110</v>
      </c>
      <c r="D15" s="4" t="s">
        <v>111</v>
      </c>
      <c r="E15" s="324" t="str">
        <f t="shared" ref="E15:O15" si="13">"Forecast "&amp;E1+7&amp;"/"&amp;RIGHT(E1,2)+8</f>
        <v>Forecast 2017/18</v>
      </c>
      <c r="F15" s="324" t="str">
        <f t="shared" si="13"/>
        <v>Forecast 2018/19</v>
      </c>
      <c r="G15" s="324" t="str">
        <f t="shared" si="13"/>
        <v>Forecast 2019/20</v>
      </c>
      <c r="H15" s="324" t="str">
        <f t="shared" si="13"/>
        <v>Forecast 2020/21</v>
      </c>
      <c r="I15" s="324" t="str">
        <f t="shared" si="13"/>
        <v>Forecast 2021/22</v>
      </c>
      <c r="J15" s="324" t="str">
        <f t="shared" si="13"/>
        <v>Forecast 2022/23</v>
      </c>
      <c r="K15" s="324" t="str">
        <f t="shared" si="13"/>
        <v>Forecast 2023/24</v>
      </c>
      <c r="L15" s="324" t="str">
        <f t="shared" si="13"/>
        <v>Forecast 2024/25</v>
      </c>
      <c r="M15" s="324" t="str">
        <f t="shared" si="13"/>
        <v>Forecast 2025/26</v>
      </c>
      <c r="N15" s="324" t="str">
        <f t="shared" si="13"/>
        <v>Forecast 2026/27</v>
      </c>
      <c r="O15" s="324" t="str">
        <f t="shared" si="13"/>
        <v>Forecast 2027/28</v>
      </c>
      <c r="P15" s="4"/>
    </row>
    <row r="16" spans="1:21" x14ac:dyDescent="0.2">
      <c r="A16" s="7" t="str">
        <f>'Template names'!C24</f>
        <v>Next yr of long term forecast</v>
      </c>
      <c r="B16" s="4" t="s">
        <v>110</v>
      </c>
      <c r="C16" s="4" t="s">
        <v>111</v>
      </c>
      <c r="D16" s="4" t="s">
        <v>112</v>
      </c>
      <c r="E16" s="324" t="str">
        <f t="shared" ref="E16:O16" si="14">"Forecast "&amp;E1+8&amp;"/"&amp;RIGHT(E1,2)+9</f>
        <v>Forecast 2018/19</v>
      </c>
      <c r="F16" s="324" t="str">
        <f t="shared" si="14"/>
        <v>Forecast 2019/20</v>
      </c>
      <c r="G16" s="324" t="str">
        <f t="shared" si="14"/>
        <v>Forecast 2020/21</v>
      </c>
      <c r="H16" s="324" t="str">
        <f t="shared" si="14"/>
        <v>Forecast 2021/22</v>
      </c>
      <c r="I16" s="324" t="str">
        <f t="shared" si="14"/>
        <v>Forecast 2022/23</v>
      </c>
      <c r="J16" s="324" t="str">
        <f t="shared" si="14"/>
        <v>Forecast 2023/24</v>
      </c>
      <c r="K16" s="324" t="str">
        <f t="shared" si="14"/>
        <v>Forecast 2024/25</v>
      </c>
      <c r="L16" s="324" t="str">
        <f t="shared" si="14"/>
        <v>Forecast 2025/26</v>
      </c>
      <c r="M16" s="324" t="str">
        <f t="shared" si="14"/>
        <v>Forecast 2026/27</v>
      </c>
      <c r="N16" s="324" t="str">
        <f t="shared" si="14"/>
        <v>Forecast 2027/28</v>
      </c>
      <c r="O16" s="324" t="str">
        <f t="shared" si="14"/>
        <v>Forecast 2028/29</v>
      </c>
      <c r="P16" s="4"/>
    </row>
    <row r="17" spans="1:16" x14ac:dyDescent="0.2">
      <c r="A17" s="7" t="str">
        <f>'Template names'!C25</f>
        <v>Next yr of long term forecast</v>
      </c>
      <c r="B17" s="4" t="s">
        <v>111</v>
      </c>
      <c r="C17" s="4" t="s">
        <v>112</v>
      </c>
      <c r="D17" s="4" t="s">
        <v>20</v>
      </c>
      <c r="E17" s="324" t="str">
        <f t="shared" ref="E17:O17" si="15">"Forecast "&amp;E1+9&amp;"/"&amp;RIGHT(E1,2)+10</f>
        <v>Forecast 2019/20</v>
      </c>
      <c r="F17" s="324" t="str">
        <f t="shared" si="15"/>
        <v>Forecast 2020/21</v>
      </c>
      <c r="G17" s="324" t="str">
        <f t="shared" si="15"/>
        <v>Forecast 2021/22</v>
      </c>
      <c r="H17" s="324" t="str">
        <f t="shared" si="15"/>
        <v>Forecast 2022/23</v>
      </c>
      <c r="I17" s="324" t="str">
        <f t="shared" si="15"/>
        <v>Forecast 2023/24</v>
      </c>
      <c r="J17" s="324" t="str">
        <f t="shared" si="15"/>
        <v>Forecast 2024/25</v>
      </c>
      <c r="K17" s="324" t="str">
        <f t="shared" si="15"/>
        <v>Forecast 2025/26</v>
      </c>
      <c r="L17" s="324" t="str">
        <f t="shared" si="15"/>
        <v>Forecast 2026/27</v>
      </c>
      <c r="M17" s="324" t="str">
        <f t="shared" si="15"/>
        <v>Forecast 2027/28</v>
      </c>
      <c r="N17" s="324" t="str">
        <f t="shared" si="15"/>
        <v>Forecast 2028/29</v>
      </c>
      <c r="O17" s="324" t="str">
        <f t="shared" si="15"/>
        <v>Forecast 2029/30</v>
      </c>
      <c r="P17" s="4"/>
    </row>
    <row r="18" spans="1:16" x14ac:dyDescent="0.2">
      <c r="A18" s="7" t="str">
        <f>'Template names'!C26</f>
        <v>Next yr of long term forecast</v>
      </c>
      <c r="B18" s="4" t="s">
        <v>112</v>
      </c>
      <c r="C18" s="4" t="s">
        <v>20</v>
      </c>
      <c r="D18" s="4" t="s">
        <v>19</v>
      </c>
      <c r="E18" s="324" t="str">
        <f t="shared" ref="E18:O18" si="16">"Forecast "&amp;E1+10&amp;"/"&amp;RIGHT(E1,2)+11</f>
        <v>Forecast 2020/21</v>
      </c>
      <c r="F18" s="324" t="str">
        <f t="shared" si="16"/>
        <v>Forecast 2021/22</v>
      </c>
      <c r="G18" s="324" t="str">
        <f t="shared" si="16"/>
        <v>Forecast 2022/23</v>
      </c>
      <c r="H18" s="324" t="str">
        <f t="shared" si="16"/>
        <v>Forecast 2023/24</v>
      </c>
      <c r="I18" s="324" t="str">
        <f t="shared" si="16"/>
        <v>Forecast 2024/25</v>
      </c>
      <c r="J18" s="324" t="str">
        <f t="shared" si="16"/>
        <v>Forecast 2025/26</v>
      </c>
      <c r="K18" s="324" t="str">
        <f t="shared" si="16"/>
        <v>Forecast 2026/27</v>
      </c>
      <c r="L18" s="324" t="str">
        <f t="shared" si="16"/>
        <v>Forecast 2027/28</v>
      </c>
      <c r="M18" s="324" t="str">
        <f t="shared" si="16"/>
        <v>Forecast 2028/29</v>
      </c>
      <c r="N18" s="324" t="str">
        <f t="shared" si="16"/>
        <v>Forecast 2029/30</v>
      </c>
      <c r="O18" s="324" t="str">
        <f t="shared" si="16"/>
        <v>Forecast 2030/31</v>
      </c>
      <c r="P18" s="4"/>
    </row>
    <row r="19" spans="1:16" x14ac:dyDescent="0.2">
      <c r="A19" s="7" t="str">
        <f>'Template names'!C27</f>
        <v>Next yr of long term forecast</v>
      </c>
      <c r="B19" s="4" t="s">
        <v>20</v>
      </c>
      <c r="C19" s="4" t="s">
        <v>19</v>
      </c>
      <c r="D19" s="4" t="s">
        <v>113</v>
      </c>
      <c r="E19" s="324" t="str">
        <f t="shared" ref="E19:O19" si="17">"Forecast "&amp;E1+11&amp;"/"&amp;RIGHT(E1,2)+12</f>
        <v>Forecast 2021/22</v>
      </c>
      <c r="F19" s="324" t="str">
        <f t="shared" si="17"/>
        <v>Forecast 2022/23</v>
      </c>
      <c r="G19" s="324" t="str">
        <f t="shared" si="17"/>
        <v>Forecast 2023/24</v>
      </c>
      <c r="H19" s="324" t="str">
        <f t="shared" si="17"/>
        <v>Forecast 2024/25</v>
      </c>
      <c r="I19" s="324" t="str">
        <f t="shared" si="17"/>
        <v>Forecast 2025/26</v>
      </c>
      <c r="J19" s="324" t="str">
        <f t="shared" si="17"/>
        <v>Forecast 2026/27</v>
      </c>
      <c r="K19" s="324" t="str">
        <f t="shared" si="17"/>
        <v>Forecast 2027/28</v>
      </c>
      <c r="L19" s="324" t="str">
        <f t="shared" si="17"/>
        <v>Forecast 2028/29</v>
      </c>
      <c r="M19" s="324" t="str">
        <f t="shared" si="17"/>
        <v>Forecast 2029/30</v>
      </c>
      <c r="N19" s="324" t="str">
        <f t="shared" si="17"/>
        <v>Forecast 2030/31</v>
      </c>
      <c r="O19" s="324" t="str">
        <f t="shared" si="17"/>
        <v>Forecast 2031/32</v>
      </c>
      <c r="P19" s="4"/>
    </row>
    <row r="20" spans="1:16" x14ac:dyDescent="0.2">
      <c r="A20" s="7" t="str">
        <f>'Template names'!C28</f>
        <v>Next yr of long term forecast</v>
      </c>
      <c r="B20" s="4" t="s">
        <v>19</v>
      </c>
      <c r="C20" s="4" t="s">
        <v>113</v>
      </c>
      <c r="D20" s="4" t="s">
        <v>419</v>
      </c>
      <c r="E20" s="324" t="str">
        <f t="shared" ref="E20:O20" si="18">"Forecast "&amp;E1+12&amp;"/"&amp;RIGHT(E1,2)+13</f>
        <v>Forecast 2022/23</v>
      </c>
      <c r="F20" s="324" t="str">
        <f t="shared" si="18"/>
        <v>Forecast 2023/24</v>
      </c>
      <c r="G20" s="324" t="str">
        <f t="shared" si="18"/>
        <v>Forecast 2024/25</v>
      </c>
      <c r="H20" s="324" t="str">
        <f t="shared" si="18"/>
        <v>Forecast 2025/26</v>
      </c>
      <c r="I20" s="324" t="str">
        <f t="shared" si="18"/>
        <v>Forecast 2026/27</v>
      </c>
      <c r="J20" s="324" t="str">
        <f t="shared" si="18"/>
        <v>Forecast 2027/28</v>
      </c>
      <c r="K20" s="324" t="str">
        <f t="shared" si="18"/>
        <v>Forecast 2028/29</v>
      </c>
      <c r="L20" s="324" t="str">
        <f t="shared" si="18"/>
        <v>Forecast 2029/30</v>
      </c>
      <c r="M20" s="324" t="str">
        <f t="shared" si="18"/>
        <v>Forecast 2030/31</v>
      </c>
      <c r="N20" s="324" t="str">
        <f t="shared" si="18"/>
        <v>Forecast 2031/32</v>
      </c>
      <c r="O20" s="324" t="str">
        <f t="shared" si="18"/>
        <v>Forecast 2032/33</v>
      </c>
      <c r="P20" s="4"/>
    </row>
    <row r="21" spans="1:16" x14ac:dyDescent="0.2">
      <c r="A21" s="7" t="str">
        <f>'Template names'!C29</f>
        <v>Next yr of long term forecast</v>
      </c>
      <c r="B21" s="4" t="s">
        <v>113</v>
      </c>
      <c r="C21" s="4" t="s">
        <v>419</v>
      </c>
      <c r="D21" s="4" t="s">
        <v>534</v>
      </c>
      <c r="E21" s="324" t="str">
        <f t="shared" ref="E21:O21" si="19">"Forecast "&amp;E1+13&amp;"/"&amp;RIGHT(E1,2)+14</f>
        <v>Forecast 2023/24</v>
      </c>
      <c r="F21" s="324" t="str">
        <f t="shared" si="19"/>
        <v>Forecast 2024/25</v>
      </c>
      <c r="G21" s="324" t="str">
        <f t="shared" si="19"/>
        <v>Forecast 2025/26</v>
      </c>
      <c r="H21" s="324" t="str">
        <f t="shared" si="19"/>
        <v>Forecast 2026/27</v>
      </c>
      <c r="I21" s="324" t="str">
        <f t="shared" si="19"/>
        <v>Forecast 2027/28</v>
      </c>
      <c r="J21" s="324" t="str">
        <f t="shared" si="19"/>
        <v>Forecast 2028/29</v>
      </c>
      <c r="K21" s="324" t="str">
        <f t="shared" si="19"/>
        <v>Forecast 2029/30</v>
      </c>
      <c r="L21" s="324" t="str">
        <f t="shared" si="19"/>
        <v>Forecast 2030/31</v>
      </c>
      <c r="M21" s="324" t="str">
        <f t="shared" si="19"/>
        <v>Forecast 2031/32</v>
      </c>
      <c r="N21" s="324" t="str">
        <f t="shared" si="19"/>
        <v>Forecast 2032/33</v>
      </c>
      <c r="O21" s="324" t="str">
        <f t="shared" si="19"/>
        <v>Forecast 2033/34</v>
      </c>
      <c r="P21" s="4"/>
    </row>
    <row r="22" spans="1:16" x14ac:dyDescent="0.2">
      <c r="A22" s="7" t="str">
        <f>'Template names'!C30</f>
        <v>Next yr of long term forecast</v>
      </c>
      <c r="B22" s="4" t="s">
        <v>419</v>
      </c>
      <c r="C22" s="4" t="s">
        <v>534</v>
      </c>
      <c r="D22" s="4" t="s">
        <v>535</v>
      </c>
      <c r="E22" s="324" t="str">
        <f t="shared" ref="E22:O22" si="20">"Forecast "&amp;E1+14&amp;"/"&amp;RIGHT(E1,2)+15</f>
        <v>Forecast 2024/25</v>
      </c>
      <c r="F22" s="324" t="str">
        <f t="shared" si="20"/>
        <v>Forecast 2025/26</v>
      </c>
      <c r="G22" s="324" t="str">
        <f t="shared" si="20"/>
        <v>Forecast 2026/27</v>
      </c>
      <c r="H22" s="324" t="str">
        <f t="shared" si="20"/>
        <v>Forecast 2027/28</v>
      </c>
      <c r="I22" s="324" t="str">
        <f t="shared" si="20"/>
        <v>Forecast 2028/29</v>
      </c>
      <c r="J22" s="324" t="str">
        <f t="shared" si="20"/>
        <v>Forecast 2029/30</v>
      </c>
      <c r="K22" s="324" t="str">
        <f t="shared" si="20"/>
        <v>Forecast 2030/31</v>
      </c>
      <c r="L22" s="324" t="str">
        <f t="shared" si="20"/>
        <v>Forecast 2031/32</v>
      </c>
      <c r="M22" s="324" t="str">
        <f t="shared" si="20"/>
        <v>Forecast 2032/33</v>
      </c>
      <c r="N22" s="324" t="str">
        <f t="shared" si="20"/>
        <v>Forecast 2033/34</v>
      </c>
      <c r="O22" s="324" t="str">
        <f t="shared" si="20"/>
        <v>Forecast 2034/35</v>
      </c>
      <c r="P22" s="4"/>
    </row>
    <row r="23" spans="1:16" x14ac:dyDescent="0.2">
      <c r="A23" s="7" t="s">
        <v>536</v>
      </c>
      <c r="B23" s="4" t="s">
        <v>292</v>
      </c>
      <c r="C23" s="4" t="s">
        <v>537</v>
      </c>
      <c r="D23" s="4" t="s">
        <v>538</v>
      </c>
      <c r="E23" s="324" t="str">
        <f t="shared" ref="E23:O23" si="21">"Annual target " &amp; E1&amp;"/"&amp;RIGHT(E1,2)+1</f>
        <v>Annual target 2010/11</v>
      </c>
      <c r="F23" s="324" t="str">
        <f t="shared" si="21"/>
        <v>Annual target 2011/12</v>
      </c>
      <c r="G23" s="324" t="str">
        <f t="shared" si="21"/>
        <v>Annual target 2012/13</v>
      </c>
      <c r="H23" s="324" t="str">
        <f t="shared" si="21"/>
        <v>Annual target 2013/14</v>
      </c>
      <c r="I23" s="324" t="str">
        <f t="shared" si="21"/>
        <v>Annual target 2014/15</v>
      </c>
      <c r="J23" s="324" t="str">
        <f t="shared" si="21"/>
        <v>Annual target 2015/16</v>
      </c>
      <c r="K23" s="324" t="str">
        <f t="shared" si="21"/>
        <v>Annual target 2016/17</v>
      </c>
      <c r="L23" s="324" t="str">
        <f t="shared" si="21"/>
        <v>Annual target 2017/18</v>
      </c>
      <c r="M23" s="324" t="str">
        <f t="shared" si="21"/>
        <v>Annual target 2018/19</v>
      </c>
      <c r="N23" s="324" t="str">
        <f t="shared" si="21"/>
        <v>Annual target 2019/20</v>
      </c>
      <c r="O23" s="324" t="str">
        <f t="shared" si="21"/>
        <v>Annual target 2020/21</v>
      </c>
      <c r="P23" s="4"/>
    </row>
    <row r="24" spans="1:16" x14ac:dyDescent="0.2">
      <c r="A24" s="327" t="s">
        <v>536</v>
      </c>
      <c r="B24" s="9" t="s">
        <v>293</v>
      </c>
      <c r="C24" s="9" t="s">
        <v>539</v>
      </c>
      <c r="D24" s="9" t="s">
        <v>540</v>
      </c>
      <c r="E24" s="325" t="str">
        <f t="shared" ref="E24:O24" si="22">"Revised target "&amp; E1&amp;"/"&amp;RIGHT(E1,2)+1</f>
        <v>Revised target 2010/11</v>
      </c>
      <c r="F24" s="325" t="str">
        <f t="shared" si="22"/>
        <v>Revised target 2011/12</v>
      </c>
      <c r="G24" s="325" t="str">
        <f t="shared" si="22"/>
        <v>Revised target 2012/13</v>
      </c>
      <c r="H24" s="325" t="str">
        <f t="shared" si="22"/>
        <v>Revised target 2013/14</v>
      </c>
      <c r="I24" s="325" t="str">
        <f t="shared" si="22"/>
        <v>Revised target 2014/15</v>
      </c>
      <c r="J24" s="325" t="str">
        <f t="shared" si="22"/>
        <v>Revised target 2015/16</v>
      </c>
      <c r="K24" s="325" t="str">
        <f t="shared" si="22"/>
        <v>Revised target 2016/17</v>
      </c>
      <c r="L24" s="325" t="str">
        <f t="shared" si="22"/>
        <v>Revised target 2017/18</v>
      </c>
      <c r="M24" s="325" t="str">
        <f t="shared" si="22"/>
        <v>Revised target 2018/19</v>
      </c>
      <c r="N24" s="325" t="str">
        <f t="shared" si="22"/>
        <v>Revised target 2019/20</v>
      </c>
      <c r="O24" s="325" t="str">
        <f t="shared" si="22"/>
        <v>Revised target 2020/21</v>
      </c>
      <c r="P24" s="4"/>
    </row>
    <row r="25" spans="1:16" ht="18" x14ac:dyDescent="0.25">
      <c r="A25" s="328" t="s">
        <v>551</v>
      </c>
    </row>
    <row r="27" spans="1:16" x14ac:dyDescent="0.2">
      <c r="A27" s="1" t="s">
        <v>619</v>
      </c>
      <c r="B27" s="1">
        <v>131</v>
      </c>
    </row>
    <row r="28" spans="1:16" x14ac:dyDescent="0.2">
      <c r="A28" s="1" t="s">
        <v>620</v>
      </c>
      <c r="B28" s="1" t="str">
        <f>INDEX(B29:B312,B27,1)</f>
        <v>LIM333 Greater Tzaneen</v>
      </c>
    </row>
    <row r="29" spans="1:16" ht="12.75" x14ac:dyDescent="0.2">
      <c r="B29" s="570" t="s">
        <v>621</v>
      </c>
      <c r="C29" s="1" t="s">
        <v>622</v>
      </c>
    </row>
    <row r="30" spans="1:16" ht="12.75" x14ac:dyDescent="0.2">
      <c r="B30" s="571" t="s">
        <v>870</v>
      </c>
      <c r="C30" s="569" t="s">
        <v>918</v>
      </c>
    </row>
    <row r="31" spans="1:16" ht="12.75" x14ac:dyDescent="0.2">
      <c r="B31" s="571" t="s">
        <v>871</v>
      </c>
      <c r="C31" s="569" t="s">
        <v>918</v>
      </c>
    </row>
    <row r="32" spans="1:16" ht="12.75" x14ac:dyDescent="0.2">
      <c r="B32" s="571" t="s">
        <v>927</v>
      </c>
      <c r="C32" s="569" t="s">
        <v>918</v>
      </c>
    </row>
    <row r="33" spans="2:3" ht="12.75" x14ac:dyDescent="0.2">
      <c r="B33" s="571" t="s">
        <v>658</v>
      </c>
      <c r="C33" s="569" t="s">
        <v>918</v>
      </c>
    </row>
    <row r="34" spans="2:3" ht="12.75" x14ac:dyDescent="0.2">
      <c r="B34" s="571" t="s">
        <v>659</v>
      </c>
      <c r="C34" s="569" t="s">
        <v>918</v>
      </c>
    </row>
    <row r="35" spans="2:3" ht="12.75" x14ac:dyDescent="0.2">
      <c r="B35" s="571" t="s">
        <v>660</v>
      </c>
      <c r="C35" s="569" t="s">
        <v>918</v>
      </c>
    </row>
    <row r="36" spans="2:3" ht="12.75" x14ac:dyDescent="0.2">
      <c r="B36" s="571" t="s">
        <v>661</v>
      </c>
      <c r="C36" s="569" t="s">
        <v>918</v>
      </c>
    </row>
    <row r="37" spans="2:3" ht="12.75" x14ac:dyDescent="0.2">
      <c r="B37" s="571" t="s">
        <v>662</v>
      </c>
      <c r="C37" s="569" t="s">
        <v>918</v>
      </c>
    </row>
    <row r="38" spans="2:3" ht="12.75" x14ac:dyDescent="0.2">
      <c r="B38" s="571" t="s">
        <v>860</v>
      </c>
      <c r="C38" s="569" t="s">
        <v>918</v>
      </c>
    </row>
    <row r="39" spans="2:3" ht="12.75" x14ac:dyDescent="0.2">
      <c r="B39" s="571" t="s">
        <v>909</v>
      </c>
      <c r="C39" s="569" t="s">
        <v>918</v>
      </c>
    </row>
    <row r="40" spans="2:3" ht="12.75" x14ac:dyDescent="0.2">
      <c r="B40" s="571" t="s">
        <v>663</v>
      </c>
      <c r="C40" s="569" t="s">
        <v>918</v>
      </c>
    </row>
    <row r="41" spans="2:3" ht="12.75" x14ac:dyDescent="0.2">
      <c r="B41" s="571" t="s">
        <v>664</v>
      </c>
      <c r="C41" s="569" t="s">
        <v>918</v>
      </c>
    </row>
    <row r="42" spans="2:3" ht="12.75" x14ac:dyDescent="0.2">
      <c r="B42" s="571" t="s">
        <v>665</v>
      </c>
      <c r="C42" s="569" t="s">
        <v>918</v>
      </c>
    </row>
    <row r="43" spans="2:3" ht="12.75" x14ac:dyDescent="0.2">
      <c r="B43" s="571" t="s">
        <v>666</v>
      </c>
      <c r="C43" s="569" t="s">
        <v>918</v>
      </c>
    </row>
    <row r="44" spans="2:3" ht="12.75" x14ac:dyDescent="0.2">
      <c r="B44" s="571" t="s">
        <v>667</v>
      </c>
      <c r="C44" s="569" t="s">
        <v>918</v>
      </c>
    </row>
    <row r="45" spans="2:3" ht="12.75" x14ac:dyDescent="0.2">
      <c r="B45" s="572" t="s">
        <v>928</v>
      </c>
      <c r="C45" s="569" t="s">
        <v>918</v>
      </c>
    </row>
    <row r="46" spans="2:3" ht="12.75" x14ac:dyDescent="0.2">
      <c r="B46" s="571" t="s">
        <v>624</v>
      </c>
      <c r="C46" s="569" t="s">
        <v>918</v>
      </c>
    </row>
    <row r="47" spans="2:3" ht="12.75" x14ac:dyDescent="0.2">
      <c r="B47" s="571" t="s">
        <v>668</v>
      </c>
      <c r="C47" s="569" t="s">
        <v>918</v>
      </c>
    </row>
    <row r="48" spans="2:3" ht="12.75" x14ac:dyDescent="0.2">
      <c r="B48" s="571" t="s">
        <v>669</v>
      </c>
      <c r="C48" s="569" t="s">
        <v>918</v>
      </c>
    </row>
    <row r="49" spans="2:3" ht="12.75" x14ac:dyDescent="0.2">
      <c r="B49" s="571" t="s">
        <v>910</v>
      </c>
      <c r="C49" s="569" t="s">
        <v>918</v>
      </c>
    </row>
    <row r="50" spans="2:3" ht="12.75" x14ac:dyDescent="0.2">
      <c r="B50" s="571" t="s">
        <v>670</v>
      </c>
      <c r="C50" s="569" t="s">
        <v>918</v>
      </c>
    </row>
    <row r="51" spans="2:3" ht="12.75" x14ac:dyDescent="0.2">
      <c r="B51" s="571" t="s">
        <v>671</v>
      </c>
      <c r="C51" s="569" t="s">
        <v>918</v>
      </c>
    </row>
    <row r="52" spans="2:3" ht="12.75" x14ac:dyDescent="0.2">
      <c r="B52" s="572" t="s">
        <v>929</v>
      </c>
      <c r="C52" s="569" t="s">
        <v>918</v>
      </c>
    </row>
    <row r="53" spans="2:3" ht="12.75" x14ac:dyDescent="0.2">
      <c r="B53" s="571" t="s">
        <v>625</v>
      </c>
      <c r="C53" s="569" t="s">
        <v>918</v>
      </c>
    </row>
    <row r="54" spans="2:3" ht="12.75" x14ac:dyDescent="0.2">
      <c r="B54" s="571" t="s">
        <v>672</v>
      </c>
      <c r="C54" s="569" t="s">
        <v>918</v>
      </c>
    </row>
    <row r="55" spans="2:3" ht="12.75" x14ac:dyDescent="0.2">
      <c r="B55" s="571" t="s">
        <v>673</v>
      </c>
      <c r="C55" s="569" t="s">
        <v>918</v>
      </c>
    </row>
    <row r="56" spans="2:3" ht="12.75" x14ac:dyDescent="0.2">
      <c r="B56" s="572" t="s">
        <v>930</v>
      </c>
      <c r="C56" s="569" t="s">
        <v>918</v>
      </c>
    </row>
    <row r="57" spans="2:3" ht="12.75" x14ac:dyDescent="0.2">
      <c r="B57" s="571" t="s">
        <v>858</v>
      </c>
      <c r="C57" s="569" t="s">
        <v>918</v>
      </c>
    </row>
    <row r="58" spans="2:3" ht="12.75" x14ac:dyDescent="0.2">
      <c r="B58" s="571" t="s">
        <v>674</v>
      </c>
      <c r="C58" s="569" t="s">
        <v>918</v>
      </c>
    </row>
    <row r="59" spans="2:3" ht="12.75" x14ac:dyDescent="0.2">
      <c r="B59" s="571" t="s">
        <v>675</v>
      </c>
      <c r="C59" s="569" t="s">
        <v>918</v>
      </c>
    </row>
    <row r="60" spans="2:3" ht="12.75" x14ac:dyDescent="0.2">
      <c r="B60" s="571" t="s">
        <v>676</v>
      </c>
      <c r="C60" s="569" t="s">
        <v>918</v>
      </c>
    </row>
    <row r="61" spans="2:3" ht="12.75" x14ac:dyDescent="0.2">
      <c r="B61" s="571" t="s">
        <v>677</v>
      </c>
      <c r="C61" s="569" t="s">
        <v>918</v>
      </c>
    </row>
    <row r="62" spans="2:3" ht="12.75" x14ac:dyDescent="0.2">
      <c r="B62" s="571" t="s">
        <v>678</v>
      </c>
      <c r="C62" s="569" t="s">
        <v>918</v>
      </c>
    </row>
    <row r="63" spans="2:3" ht="12.75" x14ac:dyDescent="0.2">
      <c r="B63" s="571" t="s">
        <v>626</v>
      </c>
      <c r="C63" s="569" t="s">
        <v>918</v>
      </c>
    </row>
    <row r="64" spans="2:3" ht="12.75" x14ac:dyDescent="0.2">
      <c r="B64" s="571" t="s">
        <v>679</v>
      </c>
      <c r="C64" s="569" t="s">
        <v>918</v>
      </c>
    </row>
    <row r="65" spans="2:3" ht="12.75" x14ac:dyDescent="0.2">
      <c r="B65" s="571" t="s">
        <v>680</v>
      </c>
      <c r="C65" s="569" t="s">
        <v>918</v>
      </c>
    </row>
    <row r="66" spans="2:3" ht="12.75" x14ac:dyDescent="0.2">
      <c r="B66" s="571" t="s">
        <v>872</v>
      </c>
      <c r="C66" s="569" t="s">
        <v>918</v>
      </c>
    </row>
    <row r="67" spans="2:3" ht="12.75" x14ac:dyDescent="0.2">
      <c r="B67" s="571" t="s">
        <v>873</v>
      </c>
      <c r="C67" s="569" t="s">
        <v>918</v>
      </c>
    </row>
    <row r="68" spans="2:3" ht="12.75" x14ac:dyDescent="0.2">
      <c r="B68" s="571" t="s">
        <v>653</v>
      </c>
      <c r="C68" s="569" t="s">
        <v>918</v>
      </c>
    </row>
    <row r="69" spans="2:3" ht="12.75" x14ac:dyDescent="0.2">
      <c r="B69" s="571" t="s">
        <v>874</v>
      </c>
      <c r="C69" s="569" t="s">
        <v>919</v>
      </c>
    </row>
    <row r="70" spans="2:3" ht="12.75" x14ac:dyDescent="0.2">
      <c r="B70" s="571" t="s">
        <v>681</v>
      </c>
      <c r="C70" s="569" t="s">
        <v>919</v>
      </c>
    </row>
    <row r="71" spans="2:3" ht="12.75" x14ac:dyDescent="0.2">
      <c r="B71" s="571" t="s">
        <v>682</v>
      </c>
      <c r="C71" s="569" t="s">
        <v>919</v>
      </c>
    </row>
    <row r="72" spans="2:3" ht="12.75" x14ac:dyDescent="0.2">
      <c r="B72" s="571" t="s">
        <v>683</v>
      </c>
      <c r="C72" s="569" t="s">
        <v>919</v>
      </c>
    </row>
    <row r="73" spans="2:3" ht="12.75" x14ac:dyDescent="0.2">
      <c r="B73" s="571" t="s">
        <v>627</v>
      </c>
      <c r="C73" s="569" t="s">
        <v>919</v>
      </c>
    </row>
    <row r="74" spans="2:3" ht="12.75" x14ac:dyDescent="0.2">
      <c r="B74" s="571" t="s">
        <v>684</v>
      </c>
      <c r="C74" s="569" t="s">
        <v>919</v>
      </c>
    </row>
    <row r="75" spans="2:3" ht="12.75" x14ac:dyDescent="0.2">
      <c r="B75" s="571" t="s">
        <v>685</v>
      </c>
      <c r="C75" s="569" t="s">
        <v>919</v>
      </c>
    </row>
    <row r="76" spans="2:3" ht="12.75" x14ac:dyDescent="0.2">
      <c r="B76" s="571" t="s">
        <v>686</v>
      </c>
      <c r="C76" s="569" t="s">
        <v>919</v>
      </c>
    </row>
    <row r="77" spans="2:3" ht="12.75" x14ac:dyDescent="0.2">
      <c r="B77" s="571" t="s">
        <v>687</v>
      </c>
      <c r="C77" s="569" t="s">
        <v>919</v>
      </c>
    </row>
    <row r="78" spans="2:3" ht="12.75" x14ac:dyDescent="0.2">
      <c r="B78" s="571" t="s">
        <v>688</v>
      </c>
      <c r="C78" s="569" t="s">
        <v>919</v>
      </c>
    </row>
    <row r="79" spans="2:3" ht="12.75" x14ac:dyDescent="0.2">
      <c r="B79" s="571" t="s">
        <v>628</v>
      </c>
      <c r="C79" s="569" t="s">
        <v>919</v>
      </c>
    </row>
    <row r="80" spans="2:3" ht="12.75" x14ac:dyDescent="0.2">
      <c r="B80" s="571" t="s">
        <v>689</v>
      </c>
      <c r="C80" s="569" t="s">
        <v>919</v>
      </c>
    </row>
    <row r="81" spans="2:3" ht="12.75" x14ac:dyDescent="0.2">
      <c r="B81" s="571" t="s">
        <v>690</v>
      </c>
      <c r="C81" s="569" t="s">
        <v>919</v>
      </c>
    </row>
    <row r="82" spans="2:3" ht="12.75" x14ac:dyDescent="0.2">
      <c r="B82" s="571" t="s">
        <v>691</v>
      </c>
      <c r="C82" s="569" t="s">
        <v>919</v>
      </c>
    </row>
    <row r="83" spans="2:3" ht="12.75" x14ac:dyDescent="0.2">
      <c r="B83" s="571" t="s">
        <v>692</v>
      </c>
      <c r="C83" s="569" t="s">
        <v>919</v>
      </c>
    </row>
    <row r="84" spans="2:3" ht="12.75" x14ac:dyDescent="0.2">
      <c r="B84" s="571" t="s">
        <v>693</v>
      </c>
      <c r="C84" s="569" t="s">
        <v>919</v>
      </c>
    </row>
    <row r="85" spans="2:3" ht="12.75" x14ac:dyDescent="0.2">
      <c r="B85" s="571" t="s">
        <v>875</v>
      </c>
      <c r="C85" s="569" t="s">
        <v>919</v>
      </c>
    </row>
    <row r="86" spans="2:3" ht="12.75" x14ac:dyDescent="0.2">
      <c r="B86" s="571" t="s">
        <v>629</v>
      </c>
      <c r="C86" s="569" t="s">
        <v>919</v>
      </c>
    </row>
    <row r="87" spans="2:3" ht="12.75" x14ac:dyDescent="0.2">
      <c r="B87" s="571" t="s">
        <v>694</v>
      </c>
      <c r="C87" s="569" t="s">
        <v>919</v>
      </c>
    </row>
    <row r="88" spans="2:3" ht="12.75" x14ac:dyDescent="0.2">
      <c r="B88" s="571" t="s">
        <v>695</v>
      </c>
      <c r="C88" s="569" t="s">
        <v>919</v>
      </c>
    </row>
    <row r="89" spans="2:3" ht="12.75" x14ac:dyDescent="0.2">
      <c r="B89" s="571" t="s">
        <v>696</v>
      </c>
      <c r="C89" s="569" t="s">
        <v>919</v>
      </c>
    </row>
    <row r="90" spans="2:3" ht="12.75" x14ac:dyDescent="0.2">
      <c r="B90" s="571" t="s">
        <v>697</v>
      </c>
      <c r="C90" s="569" t="s">
        <v>919</v>
      </c>
    </row>
    <row r="91" spans="2:3" ht="12.75" x14ac:dyDescent="0.2">
      <c r="B91" s="571" t="s">
        <v>630</v>
      </c>
      <c r="C91" s="569" t="s">
        <v>919</v>
      </c>
    </row>
    <row r="92" spans="2:3" ht="12.75" x14ac:dyDescent="0.2">
      <c r="B92" s="571" t="s">
        <v>876</v>
      </c>
      <c r="C92" s="569" t="s">
        <v>920</v>
      </c>
    </row>
    <row r="93" spans="2:3" ht="12.75" x14ac:dyDescent="0.2">
      <c r="B93" s="571" t="s">
        <v>877</v>
      </c>
      <c r="C93" s="569" t="s">
        <v>920</v>
      </c>
    </row>
    <row r="94" spans="2:3" ht="12.75" x14ac:dyDescent="0.2">
      <c r="B94" s="571" t="s">
        <v>878</v>
      </c>
      <c r="C94" s="569" t="s">
        <v>920</v>
      </c>
    </row>
    <row r="95" spans="2:3" ht="12.75" x14ac:dyDescent="0.2">
      <c r="B95" s="571" t="s">
        <v>698</v>
      </c>
      <c r="C95" s="569" t="s">
        <v>920</v>
      </c>
    </row>
    <row r="96" spans="2:3" ht="12.75" x14ac:dyDescent="0.2">
      <c r="B96" s="571" t="s">
        <v>699</v>
      </c>
      <c r="C96" s="569" t="s">
        <v>920</v>
      </c>
    </row>
    <row r="97" spans="2:3" ht="12.75" x14ac:dyDescent="0.2">
      <c r="B97" s="571" t="s">
        <v>700</v>
      </c>
      <c r="C97" s="569" t="s">
        <v>920</v>
      </c>
    </row>
    <row r="98" spans="2:3" ht="12.75" x14ac:dyDescent="0.2">
      <c r="B98" s="571" t="s">
        <v>652</v>
      </c>
      <c r="C98" s="569" t="s">
        <v>920</v>
      </c>
    </row>
    <row r="99" spans="2:3" ht="12.75" x14ac:dyDescent="0.2">
      <c r="B99" s="571" t="s">
        <v>701</v>
      </c>
      <c r="C99" s="569" t="s">
        <v>920</v>
      </c>
    </row>
    <row r="100" spans="2:3" ht="12.75" x14ac:dyDescent="0.2">
      <c r="B100" s="571" t="s">
        <v>861</v>
      </c>
      <c r="C100" s="569" t="s">
        <v>920</v>
      </c>
    </row>
    <row r="101" spans="2:3" ht="12.75" x14ac:dyDescent="0.2">
      <c r="B101" s="573" t="s">
        <v>911</v>
      </c>
      <c r="C101" s="569" t="s">
        <v>920</v>
      </c>
    </row>
    <row r="102" spans="2:3" ht="12.75" x14ac:dyDescent="0.2">
      <c r="B102" s="571" t="s">
        <v>654</v>
      </c>
      <c r="C102" s="569" t="s">
        <v>920</v>
      </c>
    </row>
    <row r="103" spans="2:3" ht="12.75" x14ac:dyDescent="0.2">
      <c r="B103" s="571" t="s">
        <v>879</v>
      </c>
      <c r="C103" s="569" t="s">
        <v>921</v>
      </c>
    </row>
    <row r="104" spans="2:3" ht="12.75" x14ac:dyDescent="0.2">
      <c r="B104" s="571" t="s">
        <v>702</v>
      </c>
      <c r="C104" s="569" t="s">
        <v>921</v>
      </c>
    </row>
    <row r="105" spans="2:3" ht="12.75" x14ac:dyDescent="0.2">
      <c r="B105" s="571" t="s">
        <v>703</v>
      </c>
      <c r="C105" s="569" t="s">
        <v>921</v>
      </c>
    </row>
    <row r="106" spans="2:3" ht="12.75" x14ac:dyDescent="0.2">
      <c r="B106" s="571" t="s">
        <v>704</v>
      </c>
      <c r="C106" s="569" t="s">
        <v>921</v>
      </c>
    </row>
    <row r="107" spans="2:3" ht="12.75" x14ac:dyDescent="0.2">
      <c r="B107" s="571" t="s">
        <v>938</v>
      </c>
      <c r="C107" s="569" t="s">
        <v>921</v>
      </c>
    </row>
    <row r="108" spans="2:3" ht="12.75" x14ac:dyDescent="0.2">
      <c r="B108" s="571" t="s">
        <v>631</v>
      </c>
      <c r="C108" s="569" t="s">
        <v>921</v>
      </c>
    </row>
    <row r="109" spans="2:3" ht="12.75" x14ac:dyDescent="0.2">
      <c r="B109" s="571" t="s">
        <v>705</v>
      </c>
      <c r="C109" s="569" t="s">
        <v>921</v>
      </c>
    </row>
    <row r="110" spans="2:3" ht="12.75" x14ac:dyDescent="0.2">
      <c r="B110" s="571" t="s">
        <v>706</v>
      </c>
      <c r="C110" s="569" t="s">
        <v>921</v>
      </c>
    </row>
    <row r="111" spans="2:3" ht="12.75" x14ac:dyDescent="0.2">
      <c r="B111" s="571" t="s">
        <v>707</v>
      </c>
      <c r="C111" s="569" t="s">
        <v>921</v>
      </c>
    </row>
    <row r="112" spans="2:3" ht="12.75" x14ac:dyDescent="0.2">
      <c r="B112" s="571" t="s">
        <v>708</v>
      </c>
      <c r="C112" s="569" t="s">
        <v>921</v>
      </c>
    </row>
    <row r="113" spans="2:3" ht="12.75" x14ac:dyDescent="0.2">
      <c r="B113" s="571" t="s">
        <v>709</v>
      </c>
      <c r="C113" s="569" t="s">
        <v>921</v>
      </c>
    </row>
    <row r="114" spans="2:3" ht="12.75" x14ac:dyDescent="0.2">
      <c r="B114" s="571" t="s">
        <v>710</v>
      </c>
      <c r="C114" s="569" t="s">
        <v>921</v>
      </c>
    </row>
    <row r="115" spans="2:3" ht="12.75" x14ac:dyDescent="0.2">
      <c r="B115" s="571" t="s">
        <v>711</v>
      </c>
      <c r="C115" s="569" t="s">
        <v>921</v>
      </c>
    </row>
    <row r="116" spans="2:3" ht="12.75" x14ac:dyDescent="0.2">
      <c r="B116" s="571" t="s">
        <v>632</v>
      </c>
      <c r="C116" s="569" t="s">
        <v>921</v>
      </c>
    </row>
    <row r="117" spans="2:3" ht="12.75" x14ac:dyDescent="0.2">
      <c r="B117" s="571" t="s">
        <v>712</v>
      </c>
      <c r="C117" s="569" t="s">
        <v>921</v>
      </c>
    </row>
    <row r="118" spans="2:3" ht="12.75" x14ac:dyDescent="0.2">
      <c r="B118" s="572" t="s">
        <v>931</v>
      </c>
      <c r="C118" s="569" t="s">
        <v>921</v>
      </c>
    </row>
    <row r="119" spans="2:3" ht="12.75" x14ac:dyDescent="0.2">
      <c r="B119" s="572" t="s">
        <v>932</v>
      </c>
      <c r="C119" s="569" t="s">
        <v>921</v>
      </c>
    </row>
    <row r="120" spans="2:3" ht="12.75" x14ac:dyDescent="0.2">
      <c r="B120" s="571" t="s">
        <v>633</v>
      </c>
      <c r="C120" s="569" t="s">
        <v>921</v>
      </c>
    </row>
    <row r="121" spans="2:3" ht="12.75" x14ac:dyDescent="0.2">
      <c r="B121" s="571" t="s">
        <v>713</v>
      </c>
      <c r="C121" s="569" t="s">
        <v>921</v>
      </c>
    </row>
    <row r="122" spans="2:3" ht="12.75" x14ac:dyDescent="0.2">
      <c r="B122" s="571" t="s">
        <v>714</v>
      </c>
      <c r="C122" s="569" t="s">
        <v>921</v>
      </c>
    </row>
    <row r="123" spans="2:3" ht="12.75" x14ac:dyDescent="0.2">
      <c r="B123" s="571" t="s">
        <v>715</v>
      </c>
      <c r="C123" s="569" t="s">
        <v>921</v>
      </c>
    </row>
    <row r="124" spans="2:3" ht="12.75" x14ac:dyDescent="0.2">
      <c r="B124" s="571" t="s">
        <v>716</v>
      </c>
      <c r="C124" s="569" t="s">
        <v>921</v>
      </c>
    </row>
    <row r="125" spans="2:3" ht="12.75" x14ac:dyDescent="0.2">
      <c r="B125" s="571" t="s">
        <v>634</v>
      </c>
      <c r="C125" s="569" t="s">
        <v>921</v>
      </c>
    </row>
    <row r="126" spans="2:3" ht="12.75" x14ac:dyDescent="0.2">
      <c r="B126" s="571" t="s">
        <v>717</v>
      </c>
      <c r="C126" s="569" t="s">
        <v>921</v>
      </c>
    </row>
    <row r="127" spans="2:3" ht="12.75" x14ac:dyDescent="0.2">
      <c r="B127" s="571" t="s">
        <v>718</v>
      </c>
      <c r="C127" s="569" t="s">
        <v>921</v>
      </c>
    </row>
    <row r="128" spans="2:3" ht="12.75" x14ac:dyDescent="0.2">
      <c r="B128" s="571" t="s">
        <v>719</v>
      </c>
      <c r="C128" s="569" t="s">
        <v>921</v>
      </c>
    </row>
    <row r="129" spans="2:3" ht="12.75" x14ac:dyDescent="0.2">
      <c r="B129" s="571" t="s">
        <v>635</v>
      </c>
      <c r="C129" s="569" t="s">
        <v>921</v>
      </c>
    </row>
    <row r="130" spans="2:3" ht="12.75" x14ac:dyDescent="0.2">
      <c r="B130" s="571" t="s">
        <v>720</v>
      </c>
      <c r="C130" s="569" t="s">
        <v>921</v>
      </c>
    </row>
    <row r="131" spans="2:3" ht="12.75" x14ac:dyDescent="0.2">
      <c r="B131" s="571" t="s">
        <v>721</v>
      </c>
      <c r="C131" s="569" t="s">
        <v>921</v>
      </c>
    </row>
    <row r="132" spans="2:3" ht="12.75" x14ac:dyDescent="0.2">
      <c r="B132" s="571" t="s">
        <v>722</v>
      </c>
      <c r="C132" s="569" t="s">
        <v>921</v>
      </c>
    </row>
    <row r="133" spans="2:3" ht="12.75" x14ac:dyDescent="0.2">
      <c r="B133" s="571" t="s">
        <v>723</v>
      </c>
      <c r="C133" s="569" t="s">
        <v>921</v>
      </c>
    </row>
    <row r="134" spans="2:3" ht="12.75" x14ac:dyDescent="0.2">
      <c r="B134" s="571" t="s">
        <v>724</v>
      </c>
      <c r="C134" s="569" t="s">
        <v>921</v>
      </c>
    </row>
    <row r="135" spans="2:3" ht="12.75" x14ac:dyDescent="0.2">
      <c r="B135" s="571" t="s">
        <v>636</v>
      </c>
      <c r="C135" s="569" t="s">
        <v>921</v>
      </c>
    </row>
    <row r="136" spans="2:3" ht="12.75" x14ac:dyDescent="0.2">
      <c r="B136" s="571" t="s">
        <v>725</v>
      </c>
      <c r="C136" s="569" t="s">
        <v>921</v>
      </c>
    </row>
    <row r="137" spans="2:3" ht="12.75" x14ac:dyDescent="0.2">
      <c r="B137" s="571" t="s">
        <v>726</v>
      </c>
      <c r="C137" s="569" t="s">
        <v>921</v>
      </c>
    </row>
    <row r="138" spans="2:3" ht="12.75" x14ac:dyDescent="0.2">
      <c r="B138" s="571" t="s">
        <v>727</v>
      </c>
      <c r="C138" s="569" t="s">
        <v>921</v>
      </c>
    </row>
    <row r="139" spans="2:3" ht="12.75" x14ac:dyDescent="0.2">
      <c r="B139" s="572" t="s">
        <v>933</v>
      </c>
      <c r="C139" s="569" t="s">
        <v>921</v>
      </c>
    </row>
    <row r="140" spans="2:3" ht="12.75" x14ac:dyDescent="0.2">
      <c r="B140" s="571" t="s">
        <v>637</v>
      </c>
      <c r="C140" s="569" t="s">
        <v>921</v>
      </c>
    </row>
    <row r="141" spans="2:3" ht="12.75" x14ac:dyDescent="0.2">
      <c r="B141" s="571" t="s">
        <v>862</v>
      </c>
      <c r="C141" s="569" t="s">
        <v>921</v>
      </c>
    </row>
    <row r="142" spans="2:3" ht="12.75" x14ac:dyDescent="0.2">
      <c r="B142" s="571" t="s">
        <v>728</v>
      </c>
      <c r="C142" s="569" t="s">
        <v>921</v>
      </c>
    </row>
    <row r="143" spans="2:3" ht="12.75" x14ac:dyDescent="0.2">
      <c r="B143" s="571" t="s">
        <v>863</v>
      </c>
      <c r="C143" s="569" t="s">
        <v>921</v>
      </c>
    </row>
    <row r="144" spans="2:3" ht="12.75" x14ac:dyDescent="0.2">
      <c r="B144" s="571" t="s">
        <v>729</v>
      </c>
      <c r="C144" s="569" t="s">
        <v>921</v>
      </c>
    </row>
    <row r="145" spans="2:3" ht="12.75" x14ac:dyDescent="0.2">
      <c r="B145" s="571" t="s">
        <v>730</v>
      </c>
      <c r="C145" s="569" t="s">
        <v>921</v>
      </c>
    </row>
    <row r="146" spans="2:3" ht="12.75" x14ac:dyDescent="0.2">
      <c r="B146" s="571" t="s">
        <v>934</v>
      </c>
      <c r="C146" s="569" t="s">
        <v>921</v>
      </c>
    </row>
    <row r="147" spans="2:3" ht="12.75" x14ac:dyDescent="0.2">
      <c r="B147" s="571" t="s">
        <v>731</v>
      </c>
      <c r="C147" s="569" t="s">
        <v>921</v>
      </c>
    </row>
    <row r="148" spans="2:3" ht="12.75" x14ac:dyDescent="0.2">
      <c r="B148" s="571" t="s">
        <v>732</v>
      </c>
      <c r="C148" s="569" t="s">
        <v>921</v>
      </c>
    </row>
    <row r="149" spans="2:3" ht="12.75" x14ac:dyDescent="0.2">
      <c r="B149" s="571" t="s">
        <v>733</v>
      </c>
      <c r="C149" s="569" t="s">
        <v>921</v>
      </c>
    </row>
    <row r="150" spans="2:3" ht="12.75" x14ac:dyDescent="0.2">
      <c r="B150" s="571" t="s">
        <v>734</v>
      </c>
      <c r="C150" s="569" t="s">
        <v>921</v>
      </c>
    </row>
    <row r="151" spans="2:3" ht="12.75" x14ac:dyDescent="0.2">
      <c r="B151" s="571" t="s">
        <v>638</v>
      </c>
      <c r="C151" s="569" t="s">
        <v>921</v>
      </c>
    </row>
    <row r="152" spans="2:3" ht="12.75" x14ac:dyDescent="0.2">
      <c r="B152" s="571" t="s">
        <v>735</v>
      </c>
      <c r="C152" s="569" t="s">
        <v>921</v>
      </c>
    </row>
    <row r="153" spans="2:3" ht="12.75" x14ac:dyDescent="0.2">
      <c r="B153" s="571" t="s">
        <v>736</v>
      </c>
      <c r="C153" s="569" t="s">
        <v>921</v>
      </c>
    </row>
    <row r="154" spans="2:3" ht="12.75" x14ac:dyDescent="0.2">
      <c r="B154" s="571" t="s">
        <v>737</v>
      </c>
      <c r="C154" s="569" t="s">
        <v>921</v>
      </c>
    </row>
    <row r="155" spans="2:3" ht="12.75" x14ac:dyDescent="0.2">
      <c r="B155" s="572" t="s">
        <v>935</v>
      </c>
      <c r="C155" s="569" t="s">
        <v>921</v>
      </c>
    </row>
    <row r="156" spans="2:3" ht="12.75" x14ac:dyDescent="0.2">
      <c r="B156" s="571" t="s">
        <v>880</v>
      </c>
      <c r="C156" s="569" t="s">
        <v>921</v>
      </c>
    </row>
    <row r="157" spans="2:3" ht="12.75" x14ac:dyDescent="0.2">
      <c r="B157" s="571" t="s">
        <v>738</v>
      </c>
      <c r="C157" s="569" t="s">
        <v>922</v>
      </c>
    </row>
    <row r="158" spans="2:3" ht="12.75" x14ac:dyDescent="0.2">
      <c r="B158" s="571" t="s">
        <v>739</v>
      </c>
      <c r="C158" s="569" t="s">
        <v>922</v>
      </c>
    </row>
    <row r="159" spans="2:3" ht="12.75" x14ac:dyDescent="0.2">
      <c r="B159" s="571" t="s">
        <v>740</v>
      </c>
      <c r="C159" s="569" t="s">
        <v>922</v>
      </c>
    </row>
    <row r="160" spans="2:3" ht="12.75" x14ac:dyDescent="0.2">
      <c r="B160" s="571" t="s">
        <v>741</v>
      </c>
      <c r="C160" s="569" t="s">
        <v>922</v>
      </c>
    </row>
    <row r="161" spans="2:3" ht="12.75" x14ac:dyDescent="0.2">
      <c r="B161" s="571" t="s">
        <v>742</v>
      </c>
      <c r="C161" s="569" t="s">
        <v>922</v>
      </c>
    </row>
    <row r="162" spans="2:3" ht="12.75" x14ac:dyDescent="0.2">
      <c r="B162" s="571" t="s">
        <v>643</v>
      </c>
      <c r="C162" s="569" t="s">
        <v>922</v>
      </c>
    </row>
    <row r="163" spans="2:3" ht="12.75" x14ac:dyDescent="0.2">
      <c r="B163" s="571" t="s">
        <v>743</v>
      </c>
      <c r="C163" s="569" t="s">
        <v>922</v>
      </c>
    </row>
    <row r="164" spans="2:3" ht="12.75" x14ac:dyDescent="0.2">
      <c r="B164" s="571" t="s">
        <v>744</v>
      </c>
      <c r="C164" s="569" t="s">
        <v>922</v>
      </c>
    </row>
    <row r="165" spans="2:3" ht="12.75" x14ac:dyDescent="0.2">
      <c r="B165" s="571" t="s">
        <v>745</v>
      </c>
      <c r="C165" s="569" t="s">
        <v>922</v>
      </c>
    </row>
    <row r="166" spans="2:3" ht="12.75" x14ac:dyDescent="0.2">
      <c r="B166" s="573" t="s">
        <v>912</v>
      </c>
      <c r="C166" s="569" t="s">
        <v>922</v>
      </c>
    </row>
    <row r="167" spans="2:3" ht="12.75" x14ac:dyDescent="0.2">
      <c r="B167" s="571" t="s">
        <v>644</v>
      </c>
      <c r="C167" s="569" t="s">
        <v>922</v>
      </c>
    </row>
    <row r="168" spans="2:3" ht="12.75" x14ac:dyDescent="0.2">
      <c r="B168" s="571" t="s">
        <v>746</v>
      </c>
      <c r="C168" s="569" t="s">
        <v>922</v>
      </c>
    </row>
    <row r="169" spans="2:3" ht="12.75" x14ac:dyDescent="0.2">
      <c r="B169" s="571" t="s">
        <v>747</v>
      </c>
      <c r="C169" s="569" t="s">
        <v>922</v>
      </c>
    </row>
    <row r="170" spans="2:3" ht="12.75" x14ac:dyDescent="0.2">
      <c r="B170" s="571" t="s">
        <v>748</v>
      </c>
      <c r="C170" s="569" t="s">
        <v>922</v>
      </c>
    </row>
    <row r="171" spans="2:3" ht="12.75" x14ac:dyDescent="0.2">
      <c r="B171" s="571" t="s">
        <v>749</v>
      </c>
      <c r="C171" s="569" t="s">
        <v>922</v>
      </c>
    </row>
    <row r="172" spans="2:3" ht="12.75" x14ac:dyDescent="0.2">
      <c r="B172" s="571" t="s">
        <v>645</v>
      </c>
      <c r="C172" s="569" t="s">
        <v>922</v>
      </c>
    </row>
    <row r="173" spans="2:3" ht="12.75" x14ac:dyDescent="0.2">
      <c r="B173" s="571" t="s">
        <v>750</v>
      </c>
      <c r="C173" s="569" t="s">
        <v>922</v>
      </c>
    </row>
    <row r="174" spans="2:3" ht="12.75" x14ac:dyDescent="0.2">
      <c r="B174" s="571" t="s">
        <v>751</v>
      </c>
      <c r="C174" s="569" t="s">
        <v>922</v>
      </c>
    </row>
    <row r="175" spans="2:3" ht="12.75" x14ac:dyDescent="0.2">
      <c r="B175" s="571" t="s">
        <v>752</v>
      </c>
      <c r="C175" s="569" t="s">
        <v>922</v>
      </c>
    </row>
    <row r="176" spans="2:3" ht="12.75" x14ac:dyDescent="0.2">
      <c r="B176" s="571" t="s">
        <v>753</v>
      </c>
      <c r="C176" s="569" t="s">
        <v>922</v>
      </c>
    </row>
    <row r="177" spans="2:3" ht="12.75" x14ac:dyDescent="0.2">
      <c r="B177" s="573" t="s">
        <v>913</v>
      </c>
      <c r="C177" s="569" t="s">
        <v>922</v>
      </c>
    </row>
    <row r="178" spans="2:3" ht="12.75" x14ac:dyDescent="0.2">
      <c r="B178" s="571" t="s">
        <v>646</v>
      </c>
      <c r="C178" s="569" t="s">
        <v>922</v>
      </c>
    </row>
    <row r="179" spans="2:3" ht="12.75" x14ac:dyDescent="0.2">
      <c r="B179" s="571" t="s">
        <v>864</v>
      </c>
      <c r="C179" s="569" t="s">
        <v>922</v>
      </c>
    </row>
    <row r="180" spans="2:3" ht="12.75" x14ac:dyDescent="0.2">
      <c r="B180" s="571" t="s">
        <v>754</v>
      </c>
      <c r="C180" s="569" t="s">
        <v>922</v>
      </c>
    </row>
    <row r="181" spans="2:3" ht="12.75" x14ac:dyDescent="0.2">
      <c r="B181" s="571" t="s">
        <v>865</v>
      </c>
      <c r="C181" s="569" t="s">
        <v>922</v>
      </c>
    </row>
    <row r="182" spans="2:3" ht="12.75" x14ac:dyDescent="0.2">
      <c r="B182" s="573" t="s">
        <v>914</v>
      </c>
      <c r="C182" s="569" t="s">
        <v>922</v>
      </c>
    </row>
    <row r="183" spans="2:3" ht="12.75" x14ac:dyDescent="0.2">
      <c r="B183" s="571" t="s">
        <v>881</v>
      </c>
      <c r="C183" s="569" t="s">
        <v>922</v>
      </c>
    </row>
    <row r="184" spans="2:3" ht="12.75" x14ac:dyDescent="0.2">
      <c r="B184" s="571" t="s">
        <v>755</v>
      </c>
      <c r="C184" s="569" t="s">
        <v>923</v>
      </c>
    </row>
    <row r="185" spans="2:3" ht="12.75" x14ac:dyDescent="0.2">
      <c r="B185" s="571" t="s">
        <v>756</v>
      </c>
      <c r="C185" s="569" t="s">
        <v>923</v>
      </c>
    </row>
    <row r="186" spans="2:3" ht="12.75" x14ac:dyDescent="0.2">
      <c r="B186" s="571" t="s">
        <v>757</v>
      </c>
      <c r="C186" s="569" t="s">
        <v>923</v>
      </c>
    </row>
    <row r="187" spans="2:3" ht="12.75" x14ac:dyDescent="0.2">
      <c r="B187" s="571" t="s">
        <v>866</v>
      </c>
      <c r="C187" s="569" t="s">
        <v>923</v>
      </c>
    </row>
    <row r="188" spans="2:3" ht="12.75" x14ac:dyDescent="0.2">
      <c r="B188" s="571" t="s">
        <v>758</v>
      </c>
      <c r="C188" s="569" t="s">
        <v>923</v>
      </c>
    </row>
    <row r="189" spans="2:3" ht="12.75" x14ac:dyDescent="0.2">
      <c r="B189" s="571" t="s">
        <v>759</v>
      </c>
      <c r="C189" s="569" t="s">
        <v>923</v>
      </c>
    </row>
    <row r="190" spans="2:3" ht="12.75" x14ac:dyDescent="0.2">
      <c r="B190" s="571" t="s">
        <v>760</v>
      </c>
      <c r="C190" s="569" t="s">
        <v>923</v>
      </c>
    </row>
    <row r="191" spans="2:3" ht="12.75" x14ac:dyDescent="0.2">
      <c r="B191" s="571" t="s">
        <v>640</v>
      </c>
      <c r="C191" s="569" t="s">
        <v>923</v>
      </c>
    </row>
    <row r="192" spans="2:3" ht="12.75" x14ac:dyDescent="0.2">
      <c r="B192" s="571" t="s">
        <v>867</v>
      </c>
      <c r="C192" s="569" t="s">
        <v>923</v>
      </c>
    </row>
    <row r="193" spans="2:3" ht="12.75" x14ac:dyDescent="0.2">
      <c r="B193" s="571" t="s">
        <v>882</v>
      </c>
      <c r="C193" s="569" t="s">
        <v>923</v>
      </c>
    </row>
    <row r="194" spans="2:3" ht="12.75" x14ac:dyDescent="0.2">
      <c r="B194" s="571" t="s">
        <v>761</v>
      </c>
      <c r="C194" s="569" t="s">
        <v>923</v>
      </c>
    </row>
    <row r="195" spans="2:3" ht="12.75" x14ac:dyDescent="0.2">
      <c r="B195" s="571" t="s">
        <v>762</v>
      </c>
      <c r="C195" s="569" t="s">
        <v>923</v>
      </c>
    </row>
    <row r="196" spans="2:3" ht="12.75" x14ac:dyDescent="0.2">
      <c r="B196" s="571" t="s">
        <v>883</v>
      </c>
      <c r="C196" s="569" t="s">
        <v>923</v>
      </c>
    </row>
    <row r="197" spans="2:3" ht="12.75" x14ac:dyDescent="0.2">
      <c r="B197" s="571" t="s">
        <v>763</v>
      </c>
      <c r="C197" s="569" t="s">
        <v>923</v>
      </c>
    </row>
    <row r="198" spans="2:3" ht="12.75" x14ac:dyDescent="0.2">
      <c r="B198" s="571" t="s">
        <v>641</v>
      </c>
      <c r="C198" s="569" t="s">
        <v>923</v>
      </c>
    </row>
    <row r="199" spans="2:3" ht="12.75" x14ac:dyDescent="0.2">
      <c r="B199" s="571" t="s">
        <v>764</v>
      </c>
      <c r="C199" s="569" t="s">
        <v>923</v>
      </c>
    </row>
    <row r="200" spans="2:3" ht="12.75" x14ac:dyDescent="0.2">
      <c r="B200" s="571" t="s">
        <v>765</v>
      </c>
      <c r="C200" s="569" t="s">
        <v>923</v>
      </c>
    </row>
    <row r="201" spans="2:3" ht="12.75" x14ac:dyDescent="0.2">
      <c r="B201" s="571" t="s">
        <v>766</v>
      </c>
      <c r="C201" s="569" t="s">
        <v>923</v>
      </c>
    </row>
    <row r="202" spans="2:3" ht="12.75" x14ac:dyDescent="0.2">
      <c r="B202" s="572" t="s">
        <v>936</v>
      </c>
      <c r="C202" s="569" t="s">
        <v>923</v>
      </c>
    </row>
    <row r="203" spans="2:3" ht="12.75" x14ac:dyDescent="0.2">
      <c r="B203" s="571" t="s">
        <v>642</v>
      </c>
      <c r="C203" s="569" t="s">
        <v>923</v>
      </c>
    </row>
    <row r="204" spans="2:3" ht="12.75" x14ac:dyDescent="0.2">
      <c r="B204" s="571" t="s">
        <v>868</v>
      </c>
      <c r="C204" s="569" t="s">
        <v>924</v>
      </c>
    </row>
    <row r="205" spans="2:3" ht="12.75" x14ac:dyDescent="0.2">
      <c r="B205" s="571" t="s">
        <v>789</v>
      </c>
      <c r="C205" s="569" t="s">
        <v>924</v>
      </c>
    </row>
    <row r="206" spans="2:3" ht="12.75" x14ac:dyDescent="0.2">
      <c r="B206" s="571" t="s">
        <v>790</v>
      </c>
      <c r="C206" s="569" t="s">
        <v>924</v>
      </c>
    </row>
    <row r="207" spans="2:3" ht="12.75" x14ac:dyDescent="0.2">
      <c r="B207" s="571" t="s">
        <v>859</v>
      </c>
      <c r="C207" s="569" t="s">
        <v>924</v>
      </c>
    </row>
    <row r="208" spans="2:3" ht="12.75" x14ac:dyDescent="0.2">
      <c r="B208" s="571" t="s">
        <v>767</v>
      </c>
      <c r="C208" s="569" t="s">
        <v>924</v>
      </c>
    </row>
    <row r="209" spans="2:3" ht="12.75" x14ac:dyDescent="0.2">
      <c r="B209" s="571" t="s">
        <v>768</v>
      </c>
      <c r="C209" s="569" t="s">
        <v>924</v>
      </c>
    </row>
    <row r="210" spans="2:3" ht="12.75" x14ac:dyDescent="0.2">
      <c r="B210" s="571" t="s">
        <v>769</v>
      </c>
      <c r="C210" s="569" t="s">
        <v>924</v>
      </c>
    </row>
    <row r="211" spans="2:3" ht="12.75" x14ac:dyDescent="0.2">
      <c r="B211" s="571" t="s">
        <v>770</v>
      </c>
      <c r="C211" s="569" t="s">
        <v>924</v>
      </c>
    </row>
    <row r="212" spans="2:3" ht="12.75" x14ac:dyDescent="0.2">
      <c r="B212" s="571" t="s">
        <v>771</v>
      </c>
      <c r="C212" s="569" t="s">
        <v>924</v>
      </c>
    </row>
    <row r="213" spans="2:3" ht="12.75" x14ac:dyDescent="0.2">
      <c r="B213" s="571" t="s">
        <v>772</v>
      </c>
      <c r="C213" s="569" t="s">
        <v>924</v>
      </c>
    </row>
    <row r="214" spans="2:3" ht="12.75" x14ac:dyDescent="0.2">
      <c r="B214" s="571" t="s">
        <v>656</v>
      </c>
      <c r="C214" s="569" t="s">
        <v>924</v>
      </c>
    </row>
    <row r="215" spans="2:3" ht="12.75" x14ac:dyDescent="0.2">
      <c r="B215" s="571" t="s">
        <v>773</v>
      </c>
      <c r="C215" s="569" t="s">
        <v>924</v>
      </c>
    </row>
    <row r="216" spans="2:3" ht="12.75" x14ac:dyDescent="0.2">
      <c r="B216" s="571" t="s">
        <v>774</v>
      </c>
      <c r="C216" s="569" t="s">
        <v>924</v>
      </c>
    </row>
    <row r="217" spans="2:3" ht="12.75" x14ac:dyDescent="0.2">
      <c r="B217" s="571" t="s">
        <v>775</v>
      </c>
      <c r="C217" s="569" t="s">
        <v>924</v>
      </c>
    </row>
    <row r="218" spans="2:3" ht="12.75" x14ac:dyDescent="0.2">
      <c r="B218" s="571" t="s">
        <v>776</v>
      </c>
      <c r="C218" s="569" t="s">
        <v>924</v>
      </c>
    </row>
    <row r="219" spans="2:3" ht="12.75" x14ac:dyDescent="0.2">
      <c r="B219" s="571" t="s">
        <v>777</v>
      </c>
      <c r="C219" s="569" t="s">
        <v>924</v>
      </c>
    </row>
    <row r="220" spans="2:3" ht="12.75" x14ac:dyDescent="0.2">
      <c r="B220" s="571" t="s">
        <v>778</v>
      </c>
      <c r="C220" s="569" t="s">
        <v>924</v>
      </c>
    </row>
    <row r="221" spans="2:3" ht="12.75" x14ac:dyDescent="0.2">
      <c r="B221" s="571" t="s">
        <v>779</v>
      </c>
      <c r="C221" s="569" t="s">
        <v>924</v>
      </c>
    </row>
    <row r="222" spans="2:3" ht="12.75" x14ac:dyDescent="0.2">
      <c r="B222" s="571" t="s">
        <v>780</v>
      </c>
      <c r="C222" s="569" t="s">
        <v>924</v>
      </c>
    </row>
    <row r="223" spans="2:3" ht="12.75" x14ac:dyDescent="0.2">
      <c r="B223" s="571" t="s">
        <v>884</v>
      </c>
      <c r="C223" s="569" t="s">
        <v>924</v>
      </c>
    </row>
    <row r="224" spans="2:3" ht="12.75" x14ac:dyDescent="0.2">
      <c r="B224" s="571" t="s">
        <v>781</v>
      </c>
      <c r="C224" s="569" t="s">
        <v>924</v>
      </c>
    </row>
    <row r="225" spans="2:3" ht="12.75" x14ac:dyDescent="0.2">
      <c r="B225" s="571" t="s">
        <v>782</v>
      </c>
      <c r="C225" s="569" t="s">
        <v>924</v>
      </c>
    </row>
    <row r="226" spans="2:3" ht="12.75" x14ac:dyDescent="0.2">
      <c r="B226" s="571" t="s">
        <v>783</v>
      </c>
      <c r="C226" s="569" t="s">
        <v>924</v>
      </c>
    </row>
    <row r="227" spans="2:3" ht="12.75" x14ac:dyDescent="0.2">
      <c r="B227" s="571" t="s">
        <v>784</v>
      </c>
      <c r="C227" s="569" t="s">
        <v>924</v>
      </c>
    </row>
    <row r="228" spans="2:3" ht="12.75" x14ac:dyDescent="0.2">
      <c r="B228" s="572" t="s">
        <v>937</v>
      </c>
      <c r="C228" s="569" t="s">
        <v>924</v>
      </c>
    </row>
    <row r="229" spans="2:3" ht="12.75" x14ac:dyDescent="0.2">
      <c r="B229" s="571" t="s">
        <v>915</v>
      </c>
      <c r="C229" s="569" t="s">
        <v>924</v>
      </c>
    </row>
    <row r="230" spans="2:3" ht="12.75" x14ac:dyDescent="0.2">
      <c r="B230" s="571" t="s">
        <v>785</v>
      </c>
      <c r="C230" s="569" t="s">
        <v>924</v>
      </c>
    </row>
    <row r="231" spans="2:3" ht="12.75" x14ac:dyDescent="0.2">
      <c r="B231" s="571" t="s">
        <v>786</v>
      </c>
      <c r="C231" s="569" t="s">
        <v>924</v>
      </c>
    </row>
    <row r="232" spans="2:3" ht="12.75" x14ac:dyDescent="0.2">
      <c r="B232" s="571" t="s">
        <v>787</v>
      </c>
      <c r="C232" s="569" t="s">
        <v>924</v>
      </c>
    </row>
    <row r="233" spans="2:3" ht="12.75" x14ac:dyDescent="0.2">
      <c r="B233" s="571" t="s">
        <v>788</v>
      </c>
      <c r="C233" s="569" t="s">
        <v>924</v>
      </c>
    </row>
    <row r="234" spans="2:3" ht="12.75" x14ac:dyDescent="0.2">
      <c r="B234" s="571" t="s">
        <v>657</v>
      </c>
      <c r="C234" s="569" t="s">
        <v>924</v>
      </c>
    </row>
    <row r="235" spans="2:3" ht="12.75" x14ac:dyDescent="0.2">
      <c r="B235" s="571" t="s">
        <v>791</v>
      </c>
      <c r="C235" s="569" t="s">
        <v>925</v>
      </c>
    </row>
    <row r="236" spans="2:3" ht="12.75" x14ac:dyDescent="0.2">
      <c r="B236" s="571" t="s">
        <v>792</v>
      </c>
      <c r="C236" s="569" t="s">
        <v>925</v>
      </c>
    </row>
    <row r="237" spans="2:3" ht="12.75" x14ac:dyDescent="0.2">
      <c r="B237" s="571" t="s">
        <v>793</v>
      </c>
      <c r="C237" s="569" t="s">
        <v>925</v>
      </c>
    </row>
    <row r="238" spans="2:3" ht="12.75" x14ac:dyDescent="0.2">
      <c r="B238" s="571" t="s">
        <v>794</v>
      </c>
      <c r="C238" s="569" t="s">
        <v>925</v>
      </c>
    </row>
    <row r="239" spans="2:3" ht="12.75" x14ac:dyDescent="0.2">
      <c r="B239" s="571" t="s">
        <v>795</v>
      </c>
      <c r="C239" s="569" t="s">
        <v>925</v>
      </c>
    </row>
    <row r="240" spans="2:3" ht="12.75" x14ac:dyDescent="0.2">
      <c r="B240" s="571" t="s">
        <v>647</v>
      </c>
      <c r="C240" s="569" t="s">
        <v>925</v>
      </c>
    </row>
    <row r="241" spans="2:3" ht="12.75" x14ac:dyDescent="0.2">
      <c r="B241" s="571" t="s">
        <v>796</v>
      </c>
      <c r="C241" s="569" t="s">
        <v>925</v>
      </c>
    </row>
    <row r="242" spans="2:3" ht="12.75" x14ac:dyDescent="0.2">
      <c r="B242" s="571" t="s">
        <v>797</v>
      </c>
      <c r="C242" s="569" t="s">
        <v>925</v>
      </c>
    </row>
    <row r="243" spans="2:3" ht="12.75" x14ac:dyDescent="0.2">
      <c r="B243" s="571" t="s">
        <v>798</v>
      </c>
      <c r="C243" s="569" t="s">
        <v>925</v>
      </c>
    </row>
    <row r="244" spans="2:3" ht="12.75" x14ac:dyDescent="0.2">
      <c r="B244" s="571" t="s">
        <v>799</v>
      </c>
      <c r="C244" s="569" t="s">
        <v>925</v>
      </c>
    </row>
    <row r="245" spans="2:3" ht="12.75" x14ac:dyDescent="0.2">
      <c r="B245" s="571" t="s">
        <v>800</v>
      </c>
      <c r="C245" s="569" t="s">
        <v>925</v>
      </c>
    </row>
    <row r="246" spans="2:3" ht="12.75" x14ac:dyDescent="0.2">
      <c r="B246" s="571" t="s">
        <v>648</v>
      </c>
      <c r="C246" s="569" t="s">
        <v>925</v>
      </c>
    </row>
    <row r="247" spans="2:3" ht="12.75" x14ac:dyDescent="0.2">
      <c r="B247" s="571" t="s">
        <v>801</v>
      </c>
      <c r="C247" s="569" t="s">
        <v>925</v>
      </c>
    </row>
    <row r="248" spans="2:3" ht="12.75" x14ac:dyDescent="0.2">
      <c r="B248" s="571" t="s">
        <v>802</v>
      </c>
      <c r="C248" s="569" t="s">
        <v>925</v>
      </c>
    </row>
    <row r="249" spans="2:3" ht="12.75" x14ac:dyDescent="0.2">
      <c r="B249" s="571" t="s">
        <v>803</v>
      </c>
      <c r="C249" s="569" t="s">
        <v>925</v>
      </c>
    </row>
    <row r="250" spans="2:3" ht="12.75" x14ac:dyDescent="0.2">
      <c r="B250" s="571" t="s">
        <v>804</v>
      </c>
      <c r="C250" s="569" t="s">
        <v>925</v>
      </c>
    </row>
    <row r="251" spans="2:3" ht="12.75" x14ac:dyDescent="0.2">
      <c r="B251" s="571" t="s">
        <v>916</v>
      </c>
      <c r="C251" s="569" t="s">
        <v>925</v>
      </c>
    </row>
    <row r="252" spans="2:3" ht="12.75" x14ac:dyDescent="0.2">
      <c r="B252" s="571" t="s">
        <v>649</v>
      </c>
      <c r="C252" s="569" t="s">
        <v>925</v>
      </c>
    </row>
    <row r="253" spans="2:3" ht="12.75" x14ac:dyDescent="0.2">
      <c r="B253" s="571" t="s">
        <v>805</v>
      </c>
      <c r="C253" s="569" t="s">
        <v>925</v>
      </c>
    </row>
    <row r="254" spans="2:3" ht="12.75" x14ac:dyDescent="0.2">
      <c r="B254" s="571" t="s">
        <v>806</v>
      </c>
      <c r="C254" s="569" t="s">
        <v>925</v>
      </c>
    </row>
    <row r="255" spans="2:3" ht="12.75" x14ac:dyDescent="0.2">
      <c r="B255" s="573" t="s">
        <v>917</v>
      </c>
      <c r="C255" s="569" t="s">
        <v>925</v>
      </c>
    </row>
    <row r="256" spans="2:3" ht="12.75" x14ac:dyDescent="0.2">
      <c r="B256" s="571" t="s">
        <v>651</v>
      </c>
      <c r="C256" s="569" t="s">
        <v>925</v>
      </c>
    </row>
    <row r="257" spans="2:3" ht="12.75" x14ac:dyDescent="0.2">
      <c r="B257" s="571" t="s">
        <v>885</v>
      </c>
      <c r="C257" s="569" t="s">
        <v>926</v>
      </c>
    </row>
    <row r="258" spans="2:3" ht="12.75" x14ac:dyDescent="0.2">
      <c r="B258" s="571" t="s">
        <v>807</v>
      </c>
      <c r="C258" s="569" t="s">
        <v>926</v>
      </c>
    </row>
    <row r="259" spans="2:3" ht="12.75" x14ac:dyDescent="0.2">
      <c r="B259" s="571" t="s">
        <v>808</v>
      </c>
      <c r="C259" s="569" t="s">
        <v>926</v>
      </c>
    </row>
    <row r="260" spans="2:3" ht="12.75" x14ac:dyDescent="0.2">
      <c r="B260" s="571" t="s">
        <v>809</v>
      </c>
      <c r="C260" s="569" t="s">
        <v>926</v>
      </c>
    </row>
    <row r="261" spans="2:3" ht="12.75" x14ac:dyDescent="0.2">
      <c r="B261" s="571" t="s">
        <v>810</v>
      </c>
      <c r="C261" s="569" t="s">
        <v>926</v>
      </c>
    </row>
    <row r="262" spans="2:3" ht="12.75" x14ac:dyDescent="0.2">
      <c r="B262" s="571" t="s">
        <v>811</v>
      </c>
      <c r="C262" s="569" t="s">
        <v>926</v>
      </c>
    </row>
    <row r="263" spans="2:3" ht="12.75" x14ac:dyDescent="0.2">
      <c r="B263" s="571" t="s">
        <v>623</v>
      </c>
      <c r="C263" s="569" t="s">
        <v>926</v>
      </c>
    </row>
    <row r="264" spans="2:3" ht="12.75" x14ac:dyDescent="0.2">
      <c r="B264" s="571" t="s">
        <v>812</v>
      </c>
      <c r="C264" s="569" t="s">
        <v>926</v>
      </c>
    </row>
    <row r="265" spans="2:3" ht="12.75" x14ac:dyDescent="0.2">
      <c r="B265" s="571" t="s">
        <v>813</v>
      </c>
      <c r="C265" s="569" t="s">
        <v>926</v>
      </c>
    </row>
    <row r="266" spans="2:3" ht="12.75" x14ac:dyDescent="0.2">
      <c r="B266" s="571" t="s">
        <v>814</v>
      </c>
      <c r="C266" s="569" t="s">
        <v>926</v>
      </c>
    </row>
    <row r="267" spans="2:3" ht="12.75" x14ac:dyDescent="0.2">
      <c r="B267" s="571" t="s">
        <v>815</v>
      </c>
      <c r="C267" s="569" t="s">
        <v>926</v>
      </c>
    </row>
    <row r="268" spans="2:3" ht="12.75" x14ac:dyDescent="0.2">
      <c r="B268" s="571" t="s">
        <v>869</v>
      </c>
      <c r="C268" s="569" t="s">
        <v>926</v>
      </c>
    </row>
    <row r="269" spans="2:3" ht="12.75" x14ac:dyDescent="0.2">
      <c r="B269" s="571" t="s">
        <v>886</v>
      </c>
      <c r="C269" s="569" t="s">
        <v>926</v>
      </c>
    </row>
    <row r="270" spans="2:3" ht="12.75" x14ac:dyDescent="0.2">
      <c r="B270" s="571" t="s">
        <v>816</v>
      </c>
      <c r="C270" s="569" t="s">
        <v>926</v>
      </c>
    </row>
    <row r="271" spans="2:3" ht="12.75" x14ac:dyDescent="0.2">
      <c r="B271" s="571" t="s">
        <v>817</v>
      </c>
      <c r="C271" s="569" t="s">
        <v>926</v>
      </c>
    </row>
    <row r="272" spans="2:3" ht="12.75" x14ac:dyDescent="0.2">
      <c r="B272" s="571" t="s">
        <v>818</v>
      </c>
      <c r="C272" s="569" t="s">
        <v>926</v>
      </c>
    </row>
    <row r="273" spans="2:3" ht="12.75" x14ac:dyDescent="0.2">
      <c r="B273" s="571" t="s">
        <v>819</v>
      </c>
      <c r="C273" s="569" t="s">
        <v>926</v>
      </c>
    </row>
    <row r="274" spans="2:3" ht="12.75" x14ac:dyDescent="0.2">
      <c r="B274" s="571" t="s">
        <v>639</v>
      </c>
      <c r="C274" s="569" t="s">
        <v>926</v>
      </c>
    </row>
    <row r="275" spans="2:3" ht="12.75" x14ac:dyDescent="0.2">
      <c r="B275" s="571" t="s">
        <v>820</v>
      </c>
      <c r="C275" s="569" t="s">
        <v>926</v>
      </c>
    </row>
    <row r="276" spans="2:3" ht="12.75" x14ac:dyDescent="0.2">
      <c r="B276" s="571" t="s">
        <v>821</v>
      </c>
      <c r="C276" s="569" t="s">
        <v>926</v>
      </c>
    </row>
    <row r="277" spans="2:3" ht="12.75" x14ac:dyDescent="0.2">
      <c r="B277" s="571" t="s">
        <v>822</v>
      </c>
      <c r="C277" s="569" t="s">
        <v>926</v>
      </c>
    </row>
    <row r="278" spans="2:3" ht="12.75" x14ac:dyDescent="0.2">
      <c r="B278" s="571" t="s">
        <v>823</v>
      </c>
      <c r="C278" s="569" t="s">
        <v>926</v>
      </c>
    </row>
    <row r="279" spans="2:3" ht="12.75" x14ac:dyDescent="0.2">
      <c r="B279" s="571" t="s">
        <v>824</v>
      </c>
      <c r="C279" s="569" t="s">
        <v>926</v>
      </c>
    </row>
    <row r="280" spans="2:3" ht="12.75" x14ac:dyDescent="0.2">
      <c r="B280" s="571" t="s">
        <v>825</v>
      </c>
      <c r="C280" s="569" t="s">
        <v>926</v>
      </c>
    </row>
    <row r="281" spans="2:3" ht="12.75" x14ac:dyDescent="0.2">
      <c r="B281" s="571" t="s">
        <v>826</v>
      </c>
      <c r="C281" s="569" t="s">
        <v>926</v>
      </c>
    </row>
    <row r="282" spans="2:3" ht="12.75" x14ac:dyDescent="0.2">
      <c r="B282" s="571" t="s">
        <v>650</v>
      </c>
      <c r="C282" s="569" t="s">
        <v>926</v>
      </c>
    </row>
    <row r="283" spans="2:3" ht="12.75" x14ac:dyDescent="0.2">
      <c r="B283" s="571" t="s">
        <v>827</v>
      </c>
      <c r="C283" s="569" t="s">
        <v>926</v>
      </c>
    </row>
    <row r="284" spans="2:3" ht="12.75" x14ac:dyDescent="0.2">
      <c r="B284" s="571" t="s">
        <v>828</v>
      </c>
      <c r="C284" s="569" t="s">
        <v>926</v>
      </c>
    </row>
    <row r="285" spans="2:3" ht="12.75" x14ac:dyDescent="0.2">
      <c r="B285" s="571" t="s">
        <v>829</v>
      </c>
      <c r="C285" s="569" t="s">
        <v>926</v>
      </c>
    </row>
    <row r="286" spans="2:3" ht="12.75" x14ac:dyDescent="0.2">
      <c r="B286" s="571" t="s">
        <v>655</v>
      </c>
      <c r="C286" s="569" t="s">
        <v>926</v>
      </c>
    </row>
    <row r="287" spans="2:3" x14ac:dyDescent="0.2">
      <c r="B287" s="535"/>
      <c r="C287" s="533"/>
    </row>
    <row r="288" spans="2:3" x14ac:dyDescent="0.2">
      <c r="B288" s="535"/>
      <c r="C288" s="533"/>
    </row>
    <row r="289" spans="2:3" x14ac:dyDescent="0.2">
      <c r="B289" s="535"/>
      <c r="C289" s="533"/>
    </row>
    <row r="290" spans="2:3" x14ac:dyDescent="0.2">
      <c r="B290" s="535"/>
      <c r="C290" s="533"/>
    </row>
    <row r="291" spans="2:3" x14ac:dyDescent="0.2">
      <c r="B291" s="535"/>
      <c r="C291" s="533"/>
    </row>
    <row r="292" spans="2:3" x14ac:dyDescent="0.2">
      <c r="B292" s="535"/>
      <c r="C292" s="533"/>
    </row>
    <row r="293" spans="2:3" x14ac:dyDescent="0.2">
      <c r="B293" s="535"/>
      <c r="C293" s="533"/>
    </row>
    <row r="294" spans="2:3" x14ac:dyDescent="0.2">
      <c r="B294" s="535"/>
      <c r="C294" s="533"/>
    </row>
    <row r="295" spans="2:3" x14ac:dyDescent="0.2">
      <c r="B295" s="535"/>
      <c r="C295" s="533"/>
    </row>
    <row r="296" spans="2:3" x14ac:dyDescent="0.2">
      <c r="B296" s="535"/>
      <c r="C296" s="533"/>
    </row>
    <row r="297" spans="2:3" x14ac:dyDescent="0.2">
      <c r="B297" s="535"/>
      <c r="C297" s="533"/>
    </row>
    <row r="298" spans="2:3" x14ac:dyDescent="0.2">
      <c r="B298" s="535"/>
      <c r="C298" s="533"/>
    </row>
    <row r="299" spans="2:3" x14ac:dyDescent="0.2">
      <c r="B299" s="535"/>
      <c r="C299" s="533"/>
    </row>
    <row r="300" spans="2:3" x14ac:dyDescent="0.2">
      <c r="B300" s="535"/>
      <c r="C300" s="533"/>
    </row>
    <row r="301" spans="2:3" x14ac:dyDescent="0.2">
      <c r="B301" s="535"/>
      <c r="C301" s="533"/>
    </row>
    <row r="302" spans="2:3" x14ac:dyDescent="0.2">
      <c r="B302" s="535"/>
      <c r="C302" s="533"/>
    </row>
    <row r="303" spans="2:3" x14ac:dyDescent="0.2">
      <c r="B303" s="535"/>
      <c r="C303" s="533"/>
    </row>
    <row r="304" spans="2:3" x14ac:dyDescent="0.2">
      <c r="B304" s="535"/>
      <c r="C304" s="533"/>
    </row>
    <row r="305" spans="2:3" x14ac:dyDescent="0.2">
      <c r="B305" s="535"/>
      <c r="C305" s="533"/>
    </row>
    <row r="306" spans="2:3" x14ac:dyDescent="0.2">
      <c r="B306" s="535"/>
      <c r="C306" s="533"/>
    </row>
    <row r="307" spans="2:3" x14ac:dyDescent="0.2">
      <c r="B307" s="535"/>
      <c r="C307" s="533"/>
    </row>
    <row r="308" spans="2:3" x14ac:dyDescent="0.2">
      <c r="B308" s="532"/>
      <c r="C308" s="533"/>
    </row>
    <row r="309" spans="2:3" x14ac:dyDescent="0.2">
      <c r="B309" s="532"/>
      <c r="C309" s="533"/>
    </row>
    <row r="310" spans="2:3" x14ac:dyDescent="0.2">
      <c r="B310" s="532"/>
      <c r="C310" s="533"/>
    </row>
    <row r="311" spans="2:3" x14ac:dyDescent="0.2">
      <c r="B311" s="532"/>
      <c r="C311" s="533"/>
    </row>
    <row r="312" spans="2:3" x14ac:dyDescent="0.2">
      <c r="B312" s="532"/>
      <c r="C312" s="533"/>
    </row>
  </sheetData>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rgb="FF99CCFF"/>
    <pageSetUpPr fitToPage="1"/>
  </sheetPr>
  <dimension ref="A1:K46"/>
  <sheetViews>
    <sheetView showGridLines="0" zoomScaleNormal="100" workbookViewId="0">
      <pane xSplit="1" ySplit="3" topLeftCell="B13" activePane="bottomRight" state="frozen"/>
      <selection activeCell="M29" sqref="M29"/>
      <selection pane="topRight" activeCell="M29" sqref="M29"/>
      <selection pane="bottomLeft" activeCell="M29" sqref="M29"/>
      <selection pane="bottomRight" activeCell="B10" sqref="B10"/>
    </sheetView>
  </sheetViews>
  <sheetFormatPr defaultRowHeight="12.75" x14ac:dyDescent="0.25"/>
  <cols>
    <col min="1" max="1" width="34.28515625" style="20" customWidth="1"/>
    <col min="2" max="11" width="8.7109375" style="20" customWidth="1"/>
    <col min="12" max="14" width="7.7109375" style="20" customWidth="1"/>
    <col min="15" max="16384" width="9.140625" style="20"/>
  </cols>
  <sheetData>
    <row r="1" spans="1:10" ht="13.5" x14ac:dyDescent="0.25">
      <c r="A1" s="112" t="str">
        <f>MEBsum</f>
        <v>GREATER TZANEEN ECONOMIC DEVELOPMENT AGENCY - Table D1 Budget Summary</v>
      </c>
    </row>
    <row r="2" spans="1:10" ht="31.5" customHeight="1" x14ac:dyDescent="0.25">
      <c r="A2" s="464" t="str">
        <f>desc</f>
        <v>Description</v>
      </c>
      <c r="B2" s="108" t="str">
        <f>head1b</f>
        <v>2014/15</v>
      </c>
      <c r="C2" s="21" t="str">
        <f>head1A</f>
        <v>2015/16</v>
      </c>
      <c r="D2" s="102" t="str">
        <f>Head1</f>
        <v>2016/17</v>
      </c>
      <c r="E2" s="131" t="str">
        <f>Head2</f>
        <v>Current Year 2017/18</v>
      </c>
      <c r="F2" s="129"/>
      <c r="G2" s="130"/>
      <c r="H2" s="131" t="str">
        <f>Head3a</f>
        <v>Medium Term Revenue and Expenditure Framework</v>
      </c>
      <c r="I2" s="129"/>
      <c r="J2" s="130"/>
    </row>
    <row r="3" spans="1:10" ht="36" customHeight="1" x14ac:dyDescent="0.25">
      <c r="A3" s="466" t="s">
        <v>206</v>
      </c>
      <c r="B3" s="126" t="str">
        <f>Head5</f>
        <v>Audited Outcome</v>
      </c>
      <c r="C3" s="101" t="str">
        <f>Head5</f>
        <v>Audited Outcome</v>
      </c>
      <c r="D3" s="455" t="str">
        <f>Head5</f>
        <v>Audited Outcome</v>
      </c>
      <c r="E3" s="454" t="str">
        <f>Head6</f>
        <v>Original Budget</v>
      </c>
      <c r="F3" s="127" t="str">
        <f>Head7</f>
        <v>Adjusted Budget</v>
      </c>
      <c r="G3" s="455" t="str">
        <f>Head8</f>
        <v>Full Year Forecast</v>
      </c>
      <c r="H3" s="454" t="str">
        <f>Head9</f>
        <v>Budget Year 2018/19</v>
      </c>
      <c r="I3" s="127" t="str">
        <f>Head10</f>
        <v>Budget Year +1 2019/20</v>
      </c>
      <c r="J3" s="455" t="str">
        <f>Head11</f>
        <v>Budget Year +2 2020/21</v>
      </c>
    </row>
    <row r="4" spans="1:10" ht="12.75" customHeight="1" x14ac:dyDescent="0.25">
      <c r="A4" s="337" t="s">
        <v>273</v>
      </c>
      <c r="B4" s="62"/>
      <c r="C4" s="61"/>
      <c r="D4" s="125"/>
      <c r="E4" s="62"/>
      <c r="F4" s="61"/>
      <c r="G4" s="125"/>
      <c r="H4" s="62"/>
      <c r="I4" s="61"/>
      <c r="J4" s="125"/>
    </row>
    <row r="5" spans="1:10" ht="12.75" customHeight="1" x14ac:dyDescent="0.25">
      <c r="A5" s="54" t="s">
        <v>409</v>
      </c>
      <c r="B5" s="28">
        <f>'D2-FinPerf'!C5</f>
        <v>0</v>
      </c>
      <c r="C5" s="27">
        <f>'D2-FinPerf'!D5</f>
        <v>0</v>
      </c>
      <c r="D5" s="105">
        <f>'D2-FinPerf'!E5</f>
        <v>0</v>
      </c>
      <c r="E5" s="28">
        <f>'D2-FinPerf'!F5</f>
        <v>0</v>
      </c>
      <c r="F5" s="27">
        <f>'D2-FinPerf'!G5</f>
        <v>0</v>
      </c>
      <c r="G5" s="105">
        <f>'D2-FinPerf'!H5</f>
        <v>0</v>
      </c>
      <c r="H5" s="28">
        <f>'D2-FinPerf'!I5</f>
        <v>0</v>
      </c>
      <c r="I5" s="27">
        <f>'D2-FinPerf'!J5</f>
        <v>0</v>
      </c>
      <c r="J5" s="105">
        <f>'D2-FinPerf'!K5</f>
        <v>0</v>
      </c>
    </row>
    <row r="6" spans="1:10" ht="12.75" customHeight="1" x14ac:dyDescent="0.25">
      <c r="A6" s="54" t="s">
        <v>457</v>
      </c>
      <c r="B6" s="28">
        <f>SUM('D2-FinPerf'!C6:C10)</f>
        <v>0</v>
      </c>
      <c r="C6" s="27">
        <f>SUM('D2-FinPerf'!D6:D10)</f>
        <v>0</v>
      </c>
      <c r="D6" s="105">
        <f>SUM('D2-FinPerf'!E6:E10)</f>
        <v>0</v>
      </c>
      <c r="E6" s="28">
        <f>SUM('D2-FinPerf'!F6:F10)</f>
        <v>0</v>
      </c>
      <c r="F6" s="27">
        <f>SUM('D2-FinPerf'!G6:G10)</f>
        <v>0</v>
      </c>
      <c r="G6" s="105">
        <f>SUM('D2-FinPerf'!H6:H10)</f>
        <v>0</v>
      </c>
      <c r="H6" s="28">
        <f>SUM('D2-FinPerf'!I6:I10)</f>
        <v>0</v>
      </c>
      <c r="I6" s="27">
        <f>SUM('D2-FinPerf'!J6:J10)</f>
        <v>0</v>
      </c>
      <c r="J6" s="105">
        <f>SUM('D2-FinPerf'!K6:K10)</f>
        <v>0</v>
      </c>
    </row>
    <row r="7" spans="1:10" ht="12.75" customHeight="1" x14ac:dyDescent="0.25">
      <c r="A7" s="54" t="s">
        <v>62</v>
      </c>
      <c r="B7" s="28">
        <f>'D2-FinPerf'!C12</f>
        <v>0</v>
      </c>
      <c r="C7" s="27">
        <f>'D2-FinPerf'!D12</f>
        <v>0</v>
      </c>
      <c r="D7" s="105">
        <f>'D2-FinPerf'!E12</f>
        <v>0</v>
      </c>
      <c r="E7" s="28">
        <f>'D2-FinPerf'!F12</f>
        <v>0</v>
      </c>
      <c r="F7" s="27">
        <f>'D2-FinPerf'!G12</f>
        <v>0</v>
      </c>
      <c r="G7" s="105">
        <f>'D2-FinPerf'!H12</f>
        <v>0</v>
      </c>
      <c r="H7" s="28">
        <f>'D2-FinPerf'!I12</f>
        <v>0</v>
      </c>
      <c r="I7" s="27">
        <f>'D2-FinPerf'!J12</f>
        <v>0</v>
      </c>
      <c r="J7" s="105">
        <f>'D2-FinPerf'!K12</f>
        <v>0</v>
      </c>
    </row>
    <row r="8" spans="1:10" ht="12.75" customHeight="1" x14ac:dyDescent="0.25">
      <c r="A8" s="357" t="s">
        <v>940</v>
      </c>
      <c r="B8" s="27">
        <f>'D2-FinPerf'!C18+'D2-FinPerf'!C38</f>
        <v>0</v>
      </c>
      <c r="C8" s="27">
        <f>'D2-FinPerf'!D18+'D2-FinPerf'!D38</f>
        <v>0</v>
      </c>
      <c r="D8" s="105">
        <f>'D2-FinPerf'!E18+'D2-FinPerf'!E38</f>
        <v>0</v>
      </c>
      <c r="E8" s="28">
        <f>'D2-FinPerf'!F18+'D2-FinPerf'!F38</f>
        <v>0</v>
      </c>
      <c r="F8" s="27">
        <f>'D2-FinPerf'!G18+'D2-FinPerf'!G38</f>
        <v>0</v>
      </c>
      <c r="G8" s="105">
        <f>'D2-FinPerf'!H18+'D2-FinPerf'!H38</f>
        <v>0</v>
      </c>
      <c r="H8" s="28">
        <f>'D2-FinPerf'!I18+'D2-FinPerf'!I38</f>
        <v>0</v>
      </c>
      <c r="I8" s="27">
        <f>'D2-FinPerf'!J18+'D2-FinPerf'!J38</f>
        <v>0</v>
      </c>
      <c r="J8" s="105">
        <f>'D2-FinPerf'!K18+'D2-FinPerf'!K38</f>
        <v>0</v>
      </c>
    </row>
    <row r="9" spans="1:10" ht="12.75" customHeight="1" x14ac:dyDescent="0.25">
      <c r="A9" s="54" t="s">
        <v>60</v>
      </c>
      <c r="B9" s="28">
        <f>'D2-FinPerf'!C11+'D2-FinPerf'!C13+'D2-FinPerf'!C14+'D2-FinPerf'!C15+'D2-FinPerf'!C16+'D2-FinPerf'!C17+'D2-FinPerf'!C19+'D2-FinPerf'!C20</f>
        <v>4859000</v>
      </c>
      <c r="C9" s="27">
        <f>'D2-FinPerf'!D11+'D2-FinPerf'!D13+'D2-FinPerf'!D14+'D2-FinPerf'!D15+'D2-FinPerf'!D16+'D2-FinPerf'!D17+'D2-FinPerf'!D19+'D2-FinPerf'!D20</f>
        <v>5625000</v>
      </c>
      <c r="D9" s="105">
        <f>'D2-FinPerf'!E11+'D2-FinPerf'!E13+'D2-FinPerf'!E14+'D2-FinPerf'!E15+'D2-FinPerf'!E16+'D2-FinPerf'!E17+'D2-FinPerf'!E19+'D2-FinPerf'!E20</f>
        <v>6735000</v>
      </c>
      <c r="E9" s="28">
        <f>'D2-FinPerf'!F11+'D2-FinPerf'!F13+'D2-FinPerf'!F14+'D2-FinPerf'!F15+'D2-FinPerf'!F16+'D2-FinPerf'!F17+'D2-FinPerf'!F19+'D2-FinPerf'!F20</f>
        <v>7145835</v>
      </c>
      <c r="F9" s="27">
        <f>'D2-FinPerf'!G11+'D2-FinPerf'!G13+'D2-FinPerf'!G14+'D2-FinPerf'!G15+'D2-FinPerf'!G16+'D2-FinPerf'!G17+'D2-FinPerf'!G19+'D2-FinPerf'!G20</f>
        <v>0</v>
      </c>
      <c r="G9" s="105">
        <f>'D2-FinPerf'!H11+'D2-FinPerf'!H13+'D2-FinPerf'!H14+'D2-FinPerf'!H15+'D2-FinPerf'!H16+'D2-FinPerf'!H17+'D2-FinPerf'!H19+'D2-FinPerf'!H20</f>
        <v>7145835</v>
      </c>
      <c r="H9" s="28">
        <f>'D2-FinPerf'!I11+'D2-FinPerf'!I13+'D2-FinPerf'!I14+'D2-FinPerf'!I15+'D2-FinPerf'!I16+'D2-FinPerf'!I17+'D2-FinPerf'!I19+'D2-FinPerf'!I20</f>
        <v>7860418.5</v>
      </c>
      <c r="I9" s="27">
        <f>'D2-FinPerf'!J11+'D2-FinPerf'!J13+'D2-FinPerf'!J14+'D2-FinPerf'!J15+'D2-FinPerf'!J16+'D2-FinPerf'!J17+'D2-FinPerf'!J19+'D2-FinPerf'!J20</f>
        <v>8332043.6100000003</v>
      </c>
      <c r="J9" s="105">
        <f>'D2-FinPerf'!K11+'D2-FinPerf'!K13+'D2-FinPerf'!K14+'D2-FinPerf'!K15+'D2-FinPerf'!K16+'D2-FinPerf'!K17+'D2-FinPerf'!K19+'D2-FinPerf'!K20</f>
        <v>8831966.2300000004</v>
      </c>
    </row>
    <row r="10" spans="1:10" ht="25.5" customHeight="1" x14ac:dyDescent="0.25">
      <c r="A10" s="515" t="s">
        <v>557</v>
      </c>
      <c r="B10" s="354">
        <f>SUM(B5:B9)</f>
        <v>4859000</v>
      </c>
      <c r="C10" s="355">
        <f t="shared" ref="C10:J10" si="0">SUM(C5:C9)</f>
        <v>5625000</v>
      </c>
      <c r="D10" s="356">
        <f t="shared" si="0"/>
        <v>6735000</v>
      </c>
      <c r="E10" s="354">
        <f t="shared" si="0"/>
        <v>7145835</v>
      </c>
      <c r="F10" s="355">
        <f t="shared" si="0"/>
        <v>0</v>
      </c>
      <c r="G10" s="356">
        <f t="shared" si="0"/>
        <v>7145835</v>
      </c>
      <c r="H10" s="354">
        <f t="shared" si="0"/>
        <v>7860418.5</v>
      </c>
      <c r="I10" s="355">
        <f t="shared" si="0"/>
        <v>8332043.6100000003</v>
      </c>
      <c r="J10" s="356">
        <f t="shared" si="0"/>
        <v>8831966.2300000004</v>
      </c>
    </row>
    <row r="11" spans="1:10" ht="12.75" customHeight="1" x14ac:dyDescent="0.25">
      <c r="A11" s="357" t="s">
        <v>42</v>
      </c>
      <c r="B11" s="28">
        <f>'D2-FinPerf'!C24</f>
        <v>3231000</v>
      </c>
      <c r="C11" s="27">
        <f>'D2-FinPerf'!D24</f>
        <v>2654000</v>
      </c>
      <c r="D11" s="105">
        <f>'D2-FinPerf'!E24</f>
        <v>3465000</v>
      </c>
      <c r="E11" s="28">
        <f>'D2-FinPerf'!F24</f>
        <v>3597681.05</v>
      </c>
      <c r="F11" s="27">
        <f>'D2-FinPerf'!G24</f>
        <v>0</v>
      </c>
      <c r="G11" s="105">
        <f>'D2-FinPerf'!H24</f>
        <v>3597681.05</v>
      </c>
      <c r="H11" s="28">
        <f>'D2-FinPerf'!I24</f>
        <v>4633750.8</v>
      </c>
      <c r="I11" s="27">
        <f>'D2-FinPerf'!J24</f>
        <v>4932480.95</v>
      </c>
      <c r="J11" s="105">
        <f>'D2-FinPerf'!K24</f>
        <v>5254005.99</v>
      </c>
    </row>
    <row r="12" spans="1:10" ht="12.75" customHeight="1" x14ac:dyDescent="0.25">
      <c r="A12" s="357" t="s">
        <v>2</v>
      </c>
      <c r="B12" s="28">
        <f>'D2-FinPerf'!C25</f>
        <v>416000</v>
      </c>
      <c r="C12" s="27">
        <f>'D2-FinPerf'!D25</f>
        <v>1005000</v>
      </c>
      <c r="D12" s="105">
        <f>'D2-FinPerf'!E25</f>
        <v>1137000</v>
      </c>
      <c r="E12" s="28">
        <f>'D2-FinPerf'!F25</f>
        <v>1024024.24</v>
      </c>
      <c r="F12" s="27">
        <f>'D2-FinPerf'!G25</f>
        <v>0</v>
      </c>
      <c r="G12" s="105">
        <f>'D2-FinPerf'!H25</f>
        <v>1024024.24</v>
      </c>
      <c r="H12" s="28">
        <f>'D2-FinPerf'!I25</f>
        <v>625000</v>
      </c>
      <c r="I12" s="27">
        <f>'D2-FinPerf'!J25</f>
        <v>658250</v>
      </c>
      <c r="J12" s="105">
        <f>'D2-FinPerf'!K25</f>
        <v>691162</v>
      </c>
    </row>
    <row r="13" spans="1:10" ht="12.75" customHeight="1" x14ac:dyDescent="0.25">
      <c r="A13" s="357" t="s">
        <v>201</v>
      </c>
      <c r="B13" s="28">
        <f>'D2-FinPerf'!C26+'D2-FinPerf'!C27</f>
        <v>87000</v>
      </c>
      <c r="C13" s="27">
        <f>'D2-FinPerf'!D26</f>
        <v>0</v>
      </c>
      <c r="D13" s="105">
        <f>'D2-FinPerf'!E26</f>
        <v>0</v>
      </c>
      <c r="E13" s="28">
        <f>'D2-FinPerf'!F26</f>
        <v>0</v>
      </c>
      <c r="F13" s="27">
        <f>'D2-FinPerf'!G26</f>
        <v>0</v>
      </c>
      <c r="G13" s="105">
        <f>'D2-FinPerf'!H26</f>
        <v>0</v>
      </c>
      <c r="H13" s="28">
        <f>'D2-FinPerf'!I26</f>
        <v>0</v>
      </c>
      <c r="I13" s="27">
        <f>'D2-FinPerf'!J26</f>
        <v>0</v>
      </c>
      <c r="J13" s="105">
        <f>'D2-FinPerf'!K26</f>
        <v>0</v>
      </c>
    </row>
    <row r="14" spans="1:10" ht="12.75" customHeight="1" x14ac:dyDescent="0.25">
      <c r="A14" s="357" t="s">
        <v>26</v>
      </c>
      <c r="B14" s="28">
        <f>'D2-FinPerf'!C28</f>
        <v>0</v>
      </c>
      <c r="C14" s="27">
        <f>'D2-FinPerf'!D28</f>
        <v>0</v>
      </c>
      <c r="D14" s="105">
        <f>'D2-FinPerf'!E28</f>
        <v>0</v>
      </c>
      <c r="E14" s="28">
        <f>'D2-FinPerf'!F28</f>
        <v>0</v>
      </c>
      <c r="F14" s="27">
        <f>'D2-FinPerf'!G28</f>
        <v>0</v>
      </c>
      <c r="G14" s="105">
        <f>'D2-FinPerf'!H28</f>
        <v>0</v>
      </c>
      <c r="H14" s="28">
        <f>'D2-FinPerf'!I28</f>
        <v>0</v>
      </c>
      <c r="I14" s="27">
        <f>'D2-FinPerf'!J28</f>
        <v>0</v>
      </c>
      <c r="J14" s="105">
        <f>'D2-FinPerf'!K28</f>
        <v>0</v>
      </c>
    </row>
    <row r="15" spans="1:10" ht="12.75" customHeight="1" x14ac:dyDescent="0.25">
      <c r="A15" s="357" t="s">
        <v>61</v>
      </c>
      <c r="B15" s="28">
        <f>'D2-FinPerf'!C29+'D2-FinPerf'!C30</f>
        <v>0</v>
      </c>
      <c r="C15" s="27">
        <f>'D2-FinPerf'!D29+'D2-FinPerf'!D30</f>
        <v>0</v>
      </c>
      <c r="D15" s="105">
        <f>'D2-FinPerf'!E29+'D2-FinPerf'!E30</f>
        <v>0</v>
      </c>
      <c r="E15" s="28">
        <f>'D2-FinPerf'!F29+'D2-FinPerf'!F30</f>
        <v>0</v>
      </c>
      <c r="F15" s="27">
        <f>'D2-FinPerf'!G29+'D2-FinPerf'!G30</f>
        <v>0</v>
      </c>
      <c r="G15" s="105">
        <f>'D2-FinPerf'!H29+'D2-FinPerf'!H30</f>
        <v>0</v>
      </c>
      <c r="H15" s="28">
        <f>'D2-FinPerf'!I29+'D2-FinPerf'!I30</f>
        <v>0</v>
      </c>
      <c r="I15" s="27">
        <f>'D2-FinPerf'!J29+'D2-FinPerf'!J30</f>
        <v>0</v>
      </c>
      <c r="J15" s="105">
        <f>'D2-FinPerf'!K29+'D2-FinPerf'!K30</f>
        <v>0</v>
      </c>
    </row>
    <row r="16" spans="1:10" ht="12.75" customHeight="1" x14ac:dyDescent="0.25">
      <c r="A16" s="357" t="s">
        <v>940</v>
      </c>
      <c r="B16" s="28">
        <f>'D2-FinPerf'!C32</f>
        <v>0</v>
      </c>
      <c r="C16" s="27">
        <f>'D2-FinPerf'!D32</f>
        <v>0</v>
      </c>
      <c r="D16" s="105">
        <f>'D2-FinPerf'!E32</f>
        <v>0</v>
      </c>
      <c r="E16" s="28">
        <f>'D2-FinPerf'!F32</f>
        <v>0</v>
      </c>
      <c r="F16" s="27">
        <f>'D2-FinPerf'!G32</f>
        <v>0</v>
      </c>
      <c r="G16" s="105">
        <f>'D2-FinPerf'!H32</f>
        <v>0</v>
      </c>
      <c r="H16" s="28">
        <f>'D2-FinPerf'!I32</f>
        <v>0</v>
      </c>
      <c r="I16" s="27">
        <f>'D2-FinPerf'!J32</f>
        <v>0</v>
      </c>
      <c r="J16" s="105">
        <f>'D2-FinPerf'!K32</f>
        <v>0</v>
      </c>
    </row>
    <row r="17" spans="1:11" ht="12.75" customHeight="1" x14ac:dyDescent="0.25">
      <c r="A17" s="357" t="s">
        <v>6</v>
      </c>
      <c r="B17" s="28">
        <f>'D2-FinPerf'!C35-SUM('D1-Sum'!B11:B16)</f>
        <v>1916000</v>
      </c>
      <c r="C17" s="27">
        <f>'D2-FinPerf'!D35-SUM('D1-Sum'!C11:C16)</f>
        <v>1847000</v>
      </c>
      <c r="D17" s="105">
        <f>'D2-FinPerf'!E35-SUM('D1-Sum'!D11:D16)</f>
        <v>1898000</v>
      </c>
      <c r="E17" s="28">
        <f>'D2-FinPerf'!F35-SUM('D1-Sum'!E11:E16)</f>
        <v>2289129.71</v>
      </c>
      <c r="F17" s="27">
        <f>'D2-FinPerf'!G35-SUM('D1-Sum'!F11:F16)</f>
        <v>0</v>
      </c>
      <c r="G17" s="105">
        <f>'D2-FinPerf'!H35-SUM('D1-Sum'!G11:G16)</f>
        <v>2289129.71</v>
      </c>
      <c r="H17" s="28">
        <f>'D2-FinPerf'!I35-SUM('D1-Sum'!H11:H16)</f>
        <v>2366607.7000000002</v>
      </c>
      <c r="I17" s="27">
        <f>'D2-FinPerf'!J35-SUM('D1-Sum'!I11:I16)</f>
        <v>2506313.46</v>
      </c>
      <c r="J17" s="105">
        <f>'D2-FinPerf'!K35-SUM('D1-Sum'!J11:J16)</f>
        <v>2651799.040000001</v>
      </c>
    </row>
    <row r="18" spans="1:11" ht="12.75" customHeight="1" x14ac:dyDescent="0.25">
      <c r="A18" s="358" t="s">
        <v>55</v>
      </c>
      <c r="B18" s="45">
        <f>SUM(B11:B17)</f>
        <v>5650000</v>
      </c>
      <c r="C18" s="44">
        <f t="shared" ref="C18:J18" si="1">SUM(C11:C17)</f>
        <v>5506000</v>
      </c>
      <c r="D18" s="106">
        <f t="shared" si="1"/>
        <v>6500000</v>
      </c>
      <c r="E18" s="45">
        <f t="shared" si="1"/>
        <v>6910835</v>
      </c>
      <c r="F18" s="44">
        <f t="shared" si="1"/>
        <v>0</v>
      </c>
      <c r="G18" s="106">
        <f t="shared" si="1"/>
        <v>6910835</v>
      </c>
      <c r="H18" s="45">
        <f t="shared" si="1"/>
        <v>7625358.5</v>
      </c>
      <c r="I18" s="44">
        <f t="shared" si="1"/>
        <v>8097044.4100000001</v>
      </c>
      <c r="J18" s="106">
        <f t="shared" si="1"/>
        <v>8596967.0300000012</v>
      </c>
    </row>
    <row r="19" spans="1:11" ht="12.75" customHeight="1" x14ac:dyDescent="0.25">
      <c r="A19" s="359" t="s">
        <v>56</v>
      </c>
      <c r="B19" s="31">
        <f>B10-B18</f>
        <v>-791000</v>
      </c>
      <c r="C19" s="30">
        <f t="shared" ref="C19:J19" si="2">C10-C18</f>
        <v>119000</v>
      </c>
      <c r="D19" s="124">
        <f t="shared" si="2"/>
        <v>235000</v>
      </c>
      <c r="E19" s="31">
        <f t="shared" si="2"/>
        <v>235000</v>
      </c>
      <c r="F19" s="30">
        <f t="shared" si="2"/>
        <v>0</v>
      </c>
      <c r="G19" s="124">
        <f t="shared" si="2"/>
        <v>235000</v>
      </c>
      <c r="H19" s="31">
        <f t="shared" si="2"/>
        <v>235060</v>
      </c>
      <c r="I19" s="30">
        <f t="shared" si="2"/>
        <v>234999.20000000019</v>
      </c>
      <c r="J19" s="124">
        <f t="shared" si="2"/>
        <v>234999.19999999925</v>
      </c>
    </row>
    <row r="20" spans="1:11" ht="12.75" customHeight="1" x14ac:dyDescent="0.25">
      <c r="A20" s="516" t="s">
        <v>941</v>
      </c>
      <c r="B20" s="28">
        <f>SUM('D2-FinPerf'!C38:C40)</f>
        <v>0</v>
      </c>
      <c r="C20" s="27">
        <f>SUM('D2-FinPerf'!D38:D40)</f>
        <v>0</v>
      </c>
      <c r="D20" s="105">
        <f>SUM('D2-FinPerf'!E38:E40)</f>
        <v>0</v>
      </c>
      <c r="E20" s="28">
        <f>SUM('D2-FinPerf'!F38:F40)</f>
        <v>0</v>
      </c>
      <c r="F20" s="27">
        <f>SUM('D2-FinPerf'!G38:G40)</f>
        <v>0</v>
      </c>
      <c r="G20" s="105">
        <f>SUM('D2-FinPerf'!H38:H40)</f>
        <v>0</v>
      </c>
      <c r="H20" s="28">
        <f>SUM('D2-FinPerf'!I38:I40)</f>
        <v>0</v>
      </c>
      <c r="I20" s="27">
        <f>SUM('D2-FinPerf'!J38:J40)</f>
        <v>0</v>
      </c>
      <c r="J20" s="105">
        <f>SUM('D2-FinPerf'!K38:K40)</f>
        <v>0</v>
      </c>
    </row>
    <row r="21" spans="1:11" x14ac:dyDescent="0.25">
      <c r="A21" s="516" t="s">
        <v>586</v>
      </c>
      <c r="B21" s="28">
        <f>'D2-FinPerf'!C39+'D2-FinPerf'!C40</f>
        <v>0</v>
      </c>
      <c r="C21" s="27">
        <f>'D2-FinPerf'!D39+'D2-FinPerf'!D40</f>
        <v>0</v>
      </c>
      <c r="D21" s="105">
        <f>'D2-FinPerf'!E39+'D2-FinPerf'!E40</f>
        <v>0</v>
      </c>
      <c r="E21" s="28">
        <f>'D2-FinPerf'!F39+'D2-FinPerf'!F40</f>
        <v>0</v>
      </c>
      <c r="F21" s="27">
        <f>'D2-FinPerf'!G39+'D2-FinPerf'!G40</f>
        <v>0</v>
      </c>
      <c r="G21" s="105">
        <f>'D2-FinPerf'!H39+'D2-FinPerf'!H40</f>
        <v>0</v>
      </c>
      <c r="H21" s="28">
        <f>'D2-FinPerf'!I39+'D2-FinPerf'!I40</f>
        <v>0</v>
      </c>
      <c r="I21" s="27">
        <f>'D2-FinPerf'!J39+'D2-FinPerf'!J40</f>
        <v>0</v>
      </c>
      <c r="J21" s="105">
        <f>'D2-FinPerf'!K39+'D2-FinPerf'!K40</f>
        <v>0</v>
      </c>
    </row>
    <row r="22" spans="1:11" ht="27.75" customHeight="1" x14ac:dyDescent="0.25">
      <c r="A22" s="453" t="s">
        <v>587</v>
      </c>
      <c r="B22" s="483">
        <f>B19+B20+B21</f>
        <v>-791000</v>
      </c>
      <c r="C22" s="484">
        <f t="shared" ref="C22:J22" si="3">C19+C20+C21</f>
        <v>119000</v>
      </c>
      <c r="D22" s="485">
        <f t="shared" si="3"/>
        <v>235000</v>
      </c>
      <c r="E22" s="483">
        <f t="shared" si="3"/>
        <v>235000</v>
      </c>
      <c r="F22" s="484">
        <f t="shared" si="3"/>
        <v>0</v>
      </c>
      <c r="G22" s="485">
        <f t="shared" si="3"/>
        <v>235000</v>
      </c>
      <c r="H22" s="483">
        <f t="shared" si="3"/>
        <v>235060</v>
      </c>
      <c r="I22" s="484">
        <f t="shared" si="3"/>
        <v>234999.20000000019</v>
      </c>
      <c r="J22" s="485">
        <f t="shared" si="3"/>
        <v>234999.19999999925</v>
      </c>
    </row>
    <row r="23" spans="1:11" ht="12.75" customHeight="1" x14ac:dyDescent="0.25">
      <c r="A23" s="568" t="s">
        <v>37</v>
      </c>
      <c r="B23" s="28">
        <f>'D2-FinPerf'!C42</f>
        <v>0</v>
      </c>
      <c r="C23" s="27">
        <f>'D2-FinPerf'!D42</f>
        <v>0</v>
      </c>
      <c r="D23" s="105">
        <f>'D2-FinPerf'!E42</f>
        <v>0</v>
      </c>
      <c r="E23" s="28">
        <f>'D2-FinPerf'!F42</f>
        <v>0</v>
      </c>
      <c r="F23" s="27">
        <f>'D2-FinPerf'!G42</f>
        <v>0</v>
      </c>
      <c r="G23" s="105">
        <f>'D2-FinPerf'!H42</f>
        <v>0</v>
      </c>
      <c r="H23" s="28">
        <f>'D2-FinPerf'!I42</f>
        <v>0</v>
      </c>
      <c r="I23" s="27">
        <f>'D2-FinPerf'!J42</f>
        <v>0</v>
      </c>
      <c r="J23" s="105">
        <f>'D2-FinPerf'!K42</f>
        <v>0</v>
      </c>
    </row>
    <row r="24" spans="1:11" ht="12.75" customHeight="1" x14ac:dyDescent="0.25">
      <c r="A24" s="338" t="s">
        <v>383</v>
      </c>
      <c r="B24" s="223">
        <f>B22-B23</f>
        <v>-791000</v>
      </c>
      <c r="C24" s="224">
        <f t="shared" ref="C24:J24" si="4">C22-C23</f>
        <v>119000</v>
      </c>
      <c r="D24" s="225">
        <f t="shared" si="4"/>
        <v>235000</v>
      </c>
      <c r="E24" s="223">
        <f t="shared" si="4"/>
        <v>235000</v>
      </c>
      <c r="F24" s="224">
        <f t="shared" si="4"/>
        <v>0</v>
      </c>
      <c r="G24" s="225">
        <f t="shared" si="4"/>
        <v>235000</v>
      </c>
      <c r="H24" s="223">
        <f t="shared" si="4"/>
        <v>235060</v>
      </c>
      <c r="I24" s="224">
        <f t="shared" si="4"/>
        <v>234999.20000000019</v>
      </c>
      <c r="J24" s="225">
        <f t="shared" si="4"/>
        <v>234999.19999999925</v>
      </c>
    </row>
    <row r="25" spans="1:11" ht="5.0999999999999996" customHeight="1" x14ac:dyDescent="0.25">
      <c r="A25" s="339"/>
      <c r="B25" s="70"/>
      <c r="C25" s="69"/>
      <c r="D25" s="123"/>
      <c r="E25" s="70"/>
      <c r="F25" s="69"/>
      <c r="G25" s="123"/>
      <c r="H25" s="70"/>
      <c r="I25" s="69"/>
      <c r="J25" s="123"/>
    </row>
    <row r="26" spans="1:11" ht="12.75" customHeight="1" x14ac:dyDescent="0.25">
      <c r="A26" s="340" t="s">
        <v>408</v>
      </c>
      <c r="B26" s="68"/>
      <c r="C26" s="67"/>
      <c r="D26" s="104"/>
      <c r="E26" s="68"/>
      <c r="F26" s="67"/>
      <c r="G26" s="104"/>
      <c r="H26" s="68"/>
      <c r="I26" s="67"/>
      <c r="J26" s="104"/>
    </row>
    <row r="27" spans="1:11" ht="12.75" customHeight="1" x14ac:dyDescent="0.25">
      <c r="A27" s="341" t="s">
        <v>132</v>
      </c>
      <c r="B27" s="31">
        <f>'D3-Capex'!C167</f>
        <v>61968</v>
      </c>
      <c r="C27" s="30">
        <f>'D3-Capex'!D167</f>
        <v>2000</v>
      </c>
      <c r="D27" s="124">
        <f>'D3-Capex'!E167</f>
        <v>2000</v>
      </c>
      <c r="E27" s="31">
        <f>'D3-Capex'!F167</f>
        <v>235000</v>
      </c>
      <c r="F27" s="30">
        <f>'D3-Capex'!G167</f>
        <v>0</v>
      </c>
      <c r="G27" s="124">
        <f>'D3-Capex'!H167</f>
        <v>235000</v>
      </c>
      <c r="H27" s="31">
        <f>'D3-Capex'!I167</f>
        <v>235000</v>
      </c>
      <c r="I27" s="30">
        <f>'D3-Capex'!J167</f>
        <v>235000</v>
      </c>
      <c r="J27" s="124">
        <f>'D3-Capex'!K167</f>
        <v>235000</v>
      </c>
      <c r="K27" s="42"/>
    </row>
    <row r="28" spans="1:11" ht="12.75" customHeight="1" x14ac:dyDescent="0.25">
      <c r="A28" s="517" t="s">
        <v>441</v>
      </c>
      <c r="B28" s="28">
        <f>'D3-Capex'!C174</f>
        <v>0</v>
      </c>
      <c r="C28" s="27">
        <f>'D3-Capex'!D174</f>
        <v>0</v>
      </c>
      <c r="D28" s="105">
        <f>'D3-Capex'!E174</f>
        <v>0</v>
      </c>
      <c r="E28" s="28">
        <f>'D3-Capex'!F174</f>
        <v>0</v>
      </c>
      <c r="F28" s="27">
        <f>'D3-Capex'!G174</f>
        <v>0</v>
      </c>
      <c r="G28" s="105">
        <f>'D3-Capex'!H174</f>
        <v>0</v>
      </c>
      <c r="H28" s="28">
        <f>'D3-Capex'!I174</f>
        <v>0</v>
      </c>
      <c r="I28" s="27">
        <f>'D3-Capex'!J174</f>
        <v>0</v>
      </c>
      <c r="J28" s="105">
        <f>'D3-Capex'!K174</f>
        <v>0</v>
      </c>
      <c r="K28" s="109"/>
    </row>
    <row r="29" spans="1:11" ht="12.75" customHeight="1" x14ac:dyDescent="0.25">
      <c r="A29" s="54" t="s">
        <v>44</v>
      </c>
      <c r="B29" s="28">
        <f>'D3-Capex'!C175</f>
        <v>0</v>
      </c>
      <c r="C29" s="27">
        <f>'D3-Capex'!D175</f>
        <v>0</v>
      </c>
      <c r="D29" s="105">
        <f>'D3-Capex'!E175</f>
        <v>0</v>
      </c>
      <c r="E29" s="28">
        <f>'D3-Capex'!F175</f>
        <v>0</v>
      </c>
      <c r="F29" s="27">
        <f>'D3-Capex'!G175</f>
        <v>0</v>
      </c>
      <c r="G29" s="105">
        <f>'D3-Capex'!H175</f>
        <v>0</v>
      </c>
      <c r="H29" s="28">
        <f>'D3-Capex'!I175</f>
        <v>0</v>
      </c>
      <c r="I29" s="27">
        <f>'D3-Capex'!J175</f>
        <v>0</v>
      </c>
      <c r="J29" s="105">
        <f>'D3-Capex'!K175</f>
        <v>0</v>
      </c>
      <c r="K29" s="109"/>
    </row>
    <row r="30" spans="1:11" ht="12.75" customHeight="1" x14ac:dyDescent="0.25">
      <c r="A30" s="54" t="s">
        <v>299</v>
      </c>
      <c r="B30" s="28">
        <f>'D3-Capex'!C176</f>
        <v>0</v>
      </c>
      <c r="C30" s="27">
        <f>'D3-Capex'!D176</f>
        <v>0</v>
      </c>
      <c r="D30" s="105">
        <f>'D3-Capex'!E176</f>
        <v>0</v>
      </c>
      <c r="E30" s="28">
        <f>'D3-Capex'!F176</f>
        <v>0</v>
      </c>
      <c r="F30" s="27">
        <f>'D3-Capex'!G176</f>
        <v>0</v>
      </c>
      <c r="G30" s="105">
        <f>'D3-Capex'!H176</f>
        <v>0</v>
      </c>
      <c r="H30" s="28">
        <f>'D3-Capex'!I176</f>
        <v>0</v>
      </c>
      <c r="I30" s="27">
        <f>'D3-Capex'!J176</f>
        <v>0</v>
      </c>
      <c r="J30" s="105">
        <f>'D3-Capex'!K176</f>
        <v>0</v>
      </c>
      <c r="K30" s="109"/>
    </row>
    <row r="31" spans="1:11" ht="12.75" customHeight="1" x14ac:dyDescent="0.25">
      <c r="A31" s="357" t="s">
        <v>41</v>
      </c>
      <c r="B31" s="28">
        <f>'D3-Capex'!C177</f>
        <v>0</v>
      </c>
      <c r="C31" s="27">
        <f>'D3-Capex'!D177</f>
        <v>0</v>
      </c>
      <c r="D31" s="105">
        <f>'D3-Capex'!E177</f>
        <v>0</v>
      </c>
      <c r="E31" s="28">
        <f>'D3-Capex'!F177</f>
        <v>0</v>
      </c>
      <c r="F31" s="27">
        <f>'D3-Capex'!G177</f>
        <v>0</v>
      </c>
      <c r="G31" s="105">
        <f>'D3-Capex'!H177</f>
        <v>0</v>
      </c>
      <c r="H31" s="28">
        <f>'D3-Capex'!I177</f>
        <v>0</v>
      </c>
      <c r="I31" s="27">
        <f>'D3-Capex'!J177</f>
        <v>0</v>
      </c>
      <c r="J31" s="105">
        <f>'D3-Capex'!K177</f>
        <v>0</v>
      </c>
      <c r="K31" s="109"/>
    </row>
    <row r="32" spans="1:11" ht="12.75" customHeight="1" x14ac:dyDescent="0.25">
      <c r="A32" s="56" t="s">
        <v>121</v>
      </c>
      <c r="B32" s="31">
        <f>SUM(B28:B31)</f>
        <v>0</v>
      </c>
      <c r="C32" s="30">
        <f t="shared" ref="C32:J32" si="5">SUM(C28:C31)</f>
        <v>0</v>
      </c>
      <c r="D32" s="124">
        <f t="shared" si="5"/>
        <v>0</v>
      </c>
      <c r="E32" s="31">
        <f t="shared" si="5"/>
        <v>0</v>
      </c>
      <c r="F32" s="30">
        <f t="shared" si="5"/>
        <v>0</v>
      </c>
      <c r="G32" s="124">
        <f t="shared" si="5"/>
        <v>0</v>
      </c>
      <c r="H32" s="31">
        <f t="shared" si="5"/>
        <v>0</v>
      </c>
      <c r="I32" s="30">
        <f t="shared" si="5"/>
        <v>0</v>
      </c>
      <c r="J32" s="124">
        <f t="shared" si="5"/>
        <v>0</v>
      </c>
    </row>
    <row r="33" spans="1:10" ht="5.0999999999999996" customHeight="1" x14ac:dyDescent="0.25">
      <c r="A33" s="342"/>
      <c r="B33" s="70"/>
      <c r="C33" s="69"/>
      <c r="D33" s="123"/>
      <c r="E33" s="70"/>
      <c r="F33" s="69"/>
      <c r="G33" s="123"/>
      <c r="H33" s="70"/>
      <c r="I33" s="69"/>
      <c r="J33" s="123"/>
    </row>
    <row r="34" spans="1:10" ht="12.75" customHeight="1" x14ac:dyDescent="0.25">
      <c r="A34" s="340" t="s">
        <v>58</v>
      </c>
      <c r="B34" s="68"/>
      <c r="C34" s="67"/>
      <c r="D34" s="104"/>
      <c r="E34" s="68"/>
      <c r="F34" s="67"/>
      <c r="G34" s="104"/>
      <c r="H34" s="68"/>
      <c r="I34" s="67"/>
      <c r="J34" s="104"/>
    </row>
    <row r="35" spans="1:10" ht="12.75" customHeight="1" x14ac:dyDescent="0.25">
      <c r="A35" s="54" t="s">
        <v>169</v>
      </c>
      <c r="B35" s="28">
        <f>'D4-FinPos'!C12</f>
        <v>431000</v>
      </c>
      <c r="C35" s="27">
        <f>'D4-FinPos'!D12</f>
        <v>1145000</v>
      </c>
      <c r="D35" s="105">
        <f>'D4-FinPos'!E12</f>
        <v>407000</v>
      </c>
      <c r="E35" s="28">
        <f>'D4-FinPos'!F12</f>
        <v>236234</v>
      </c>
      <c r="F35" s="27">
        <f>'D4-FinPos'!G12</f>
        <v>0</v>
      </c>
      <c r="G35" s="105">
        <f>'D4-FinPos'!H12</f>
        <v>236234</v>
      </c>
      <c r="H35" s="28">
        <f>'D4-FinPos'!I12</f>
        <v>711357</v>
      </c>
      <c r="I35" s="27">
        <f>'D4-FinPos'!J12</f>
        <v>711357</v>
      </c>
      <c r="J35" s="105">
        <f>'D4-FinPos'!K12</f>
        <v>711357</v>
      </c>
    </row>
    <row r="36" spans="1:10" ht="12.75" customHeight="1" x14ac:dyDescent="0.25">
      <c r="A36" s="54" t="s">
        <v>168</v>
      </c>
      <c r="B36" s="28">
        <f>'D4-FinPos'!C24</f>
        <v>141000</v>
      </c>
      <c r="C36" s="27">
        <f>'D4-FinPos'!D24</f>
        <v>87000</v>
      </c>
      <c r="D36" s="105">
        <f>'D4-FinPos'!E24</f>
        <v>73523</v>
      </c>
      <c r="E36" s="28">
        <f>'D4-FinPos'!F24</f>
        <v>235000</v>
      </c>
      <c r="F36" s="27">
        <f>'D4-FinPos'!G24</f>
        <v>0</v>
      </c>
      <c r="G36" s="105">
        <f>'D4-FinPos'!H24</f>
        <v>235000</v>
      </c>
      <c r="H36" s="28">
        <f>'D4-FinPos'!I24</f>
        <v>235000</v>
      </c>
      <c r="I36" s="27">
        <f>'D4-FinPos'!J24</f>
        <v>235000</v>
      </c>
      <c r="J36" s="105">
        <f>'D4-FinPos'!K24</f>
        <v>235000</v>
      </c>
    </row>
    <row r="37" spans="1:10" ht="12.75" customHeight="1" x14ac:dyDescent="0.25">
      <c r="A37" s="54" t="s">
        <v>32</v>
      </c>
      <c r="B37" s="28">
        <f>'D4-FinPos'!C34</f>
        <v>1642000</v>
      </c>
      <c r="C37" s="27">
        <f>'D4-FinPos'!D34</f>
        <v>2060029</v>
      </c>
      <c r="D37" s="105">
        <f>'D4-FinPos'!E34</f>
        <v>1643155</v>
      </c>
      <c r="E37" s="28">
        <f>'D4-FinPos'!F34</f>
        <v>2087539</v>
      </c>
      <c r="F37" s="27">
        <f>'D4-FinPos'!G34</f>
        <v>0</v>
      </c>
      <c r="G37" s="105">
        <f>'D4-FinPos'!H34</f>
        <v>2087539</v>
      </c>
      <c r="H37" s="28">
        <f>'D4-FinPos'!I34</f>
        <v>1643155</v>
      </c>
      <c r="I37" s="27">
        <f>'D4-FinPos'!J34</f>
        <v>1643155</v>
      </c>
      <c r="J37" s="105">
        <f>'D4-FinPos'!K34</f>
        <v>1643155</v>
      </c>
    </row>
    <row r="38" spans="1:10" ht="12.75" customHeight="1" x14ac:dyDescent="0.25">
      <c r="A38" s="54" t="s">
        <v>31</v>
      </c>
      <c r="B38" s="28">
        <f>'D4-FinPos'!C39</f>
        <v>0</v>
      </c>
      <c r="C38" s="27">
        <f>'D4-FinPos'!D39</f>
        <v>0</v>
      </c>
      <c r="D38" s="105">
        <f>'D4-FinPos'!E39</f>
        <v>0</v>
      </c>
      <c r="E38" s="28">
        <f>'D4-FinPos'!F39</f>
        <v>0</v>
      </c>
      <c r="F38" s="27">
        <f>'D4-FinPos'!G39</f>
        <v>0</v>
      </c>
      <c r="G38" s="105">
        <f>'D4-FinPos'!H39</f>
        <v>0</v>
      </c>
      <c r="H38" s="28">
        <f>'D4-FinPos'!I39</f>
        <v>0</v>
      </c>
      <c r="I38" s="27">
        <f>'D4-FinPos'!J39</f>
        <v>0</v>
      </c>
      <c r="J38" s="105">
        <f>'D4-FinPos'!K39</f>
        <v>0</v>
      </c>
    </row>
    <row r="39" spans="1:10" ht="12.75" customHeight="1" x14ac:dyDescent="0.25">
      <c r="A39" s="54" t="s">
        <v>64</v>
      </c>
      <c r="B39" s="28">
        <f>'D4-FinPos'!C48</f>
        <v>0</v>
      </c>
      <c r="C39" s="27">
        <f>'D4-FinPos'!D48</f>
        <v>0</v>
      </c>
      <c r="D39" s="105">
        <f>'D4-FinPos'!E48</f>
        <v>0</v>
      </c>
      <c r="E39" s="28">
        <f>'D4-FinPos'!F48</f>
        <v>0</v>
      </c>
      <c r="F39" s="27">
        <f>'D4-FinPos'!G48</f>
        <v>0</v>
      </c>
      <c r="G39" s="105">
        <f>'D4-FinPos'!H48</f>
        <v>0</v>
      </c>
      <c r="H39" s="28">
        <f>'D4-FinPos'!I48</f>
        <v>0</v>
      </c>
      <c r="I39" s="27">
        <f>'D4-FinPos'!J48</f>
        <v>0</v>
      </c>
      <c r="J39" s="105">
        <f>'D4-FinPos'!K48</f>
        <v>0</v>
      </c>
    </row>
    <row r="40" spans="1:10" ht="5.0999999999999996" customHeight="1" x14ac:dyDescent="0.25">
      <c r="A40" s="339"/>
      <c r="B40" s="70"/>
      <c r="C40" s="69"/>
      <c r="D40" s="123"/>
      <c r="E40" s="70"/>
      <c r="F40" s="69"/>
      <c r="G40" s="123"/>
      <c r="H40" s="70"/>
      <c r="I40" s="69"/>
      <c r="J40" s="123"/>
    </row>
    <row r="41" spans="1:10" ht="12.75" customHeight="1" x14ac:dyDescent="0.25">
      <c r="A41" s="343" t="s">
        <v>59</v>
      </c>
      <c r="B41" s="28"/>
      <c r="C41" s="27"/>
      <c r="D41" s="105"/>
      <c r="E41" s="28"/>
      <c r="F41" s="27"/>
      <c r="G41" s="105"/>
      <c r="H41" s="28"/>
      <c r="I41" s="27"/>
      <c r="J41" s="105"/>
    </row>
    <row r="42" spans="1:10" ht="12.75" customHeight="1" x14ac:dyDescent="0.25">
      <c r="A42" s="54" t="s">
        <v>187</v>
      </c>
      <c r="B42" s="28">
        <f>'D5-CFlow'!C18</f>
        <v>-127000</v>
      </c>
      <c r="C42" s="27">
        <f>'D5-CFlow'!D18</f>
        <v>681000</v>
      </c>
      <c r="D42" s="105">
        <f>'D5-CFlow'!E18</f>
        <v>235000</v>
      </c>
      <c r="E42" s="28">
        <f>'D5-CFlow'!F18</f>
        <v>235000</v>
      </c>
      <c r="F42" s="27">
        <f>'D5-CFlow'!G18</f>
        <v>0</v>
      </c>
      <c r="G42" s="105">
        <f>'D5-CFlow'!H18</f>
        <v>235000</v>
      </c>
      <c r="H42" s="28">
        <f>'D5-CFlow'!I18</f>
        <v>235000</v>
      </c>
      <c r="I42" s="27">
        <f>'D5-CFlow'!J18</f>
        <v>235000</v>
      </c>
      <c r="J42" s="105">
        <f>'D5-CFlow'!K18</f>
        <v>235000</v>
      </c>
    </row>
    <row r="43" spans="1:10" ht="12.75" customHeight="1" x14ac:dyDescent="0.25">
      <c r="A43" s="54" t="s">
        <v>188</v>
      </c>
      <c r="B43" s="28">
        <f>'D5-CFlow'!C28</f>
        <v>-2000</v>
      </c>
      <c r="C43" s="27">
        <f>'D5-CFlow'!D28</f>
        <v>0</v>
      </c>
      <c r="D43" s="105">
        <f>'D5-CFlow'!E28</f>
        <v>235000</v>
      </c>
      <c r="E43" s="28">
        <f>'D5-CFlow'!F28</f>
        <v>235000</v>
      </c>
      <c r="F43" s="27">
        <f>'D5-CFlow'!G28</f>
        <v>0</v>
      </c>
      <c r="G43" s="105">
        <f>'D5-CFlow'!H28</f>
        <v>235000</v>
      </c>
      <c r="H43" s="28">
        <f>'D5-CFlow'!I28</f>
        <v>235000</v>
      </c>
      <c r="I43" s="27">
        <f>'D5-CFlow'!J28</f>
        <v>235000</v>
      </c>
      <c r="J43" s="105">
        <f>'D5-CFlow'!K28</f>
        <v>235000</v>
      </c>
    </row>
    <row r="44" spans="1:10" ht="12.75" customHeight="1" x14ac:dyDescent="0.25">
      <c r="A44" s="54" t="s">
        <v>186</v>
      </c>
      <c r="B44" s="28">
        <f>'D5-CFlow'!C37</f>
        <v>0</v>
      </c>
      <c r="C44" s="27">
        <f>'D5-CFlow'!D37</f>
        <v>0</v>
      </c>
      <c r="D44" s="105">
        <f>'D5-CFlow'!E37</f>
        <v>0</v>
      </c>
      <c r="E44" s="28">
        <f>'D5-CFlow'!F37</f>
        <v>0</v>
      </c>
      <c r="F44" s="27">
        <f>'D5-CFlow'!G37</f>
        <v>0</v>
      </c>
      <c r="G44" s="105">
        <f>'D5-CFlow'!H37</f>
        <v>0</v>
      </c>
      <c r="H44" s="28">
        <f>'D5-CFlow'!I37</f>
        <v>0</v>
      </c>
      <c r="I44" s="27">
        <f>'D5-CFlow'!J37</f>
        <v>0</v>
      </c>
      <c r="J44" s="105">
        <f>'D5-CFlow'!K37</f>
        <v>0</v>
      </c>
    </row>
    <row r="45" spans="1:10" ht="12.75" customHeight="1" x14ac:dyDescent="0.25">
      <c r="A45" s="344" t="s">
        <v>35</v>
      </c>
      <c r="B45" s="31">
        <f>'D5-CFlow'!C41</f>
        <v>427000</v>
      </c>
      <c r="C45" s="30">
        <f>'D5-CFlow'!D41</f>
        <v>1108000</v>
      </c>
      <c r="D45" s="124">
        <f>'D5-CFlow'!E41</f>
        <v>1578000</v>
      </c>
      <c r="E45" s="31">
        <f>'D5-CFlow'!F41</f>
        <v>470000</v>
      </c>
      <c r="F45" s="30">
        <f>'D5-CFlow'!G41</f>
        <v>0</v>
      </c>
      <c r="G45" s="124">
        <f>'D5-CFlow'!H41</f>
        <v>470000</v>
      </c>
      <c r="H45" s="31">
        <f>'D5-CFlow'!I41</f>
        <v>940000</v>
      </c>
      <c r="I45" s="30">
        <f>'D5-CFlow'!J41</f>
        <v>1410000</v>
      </c>
      <c r="J45" s="124">
        <f>'D5-CFlow'!K41</f>
        <v>1880000</v>
      </c>
    </row>
    <row r="46" spans="1:10" ht="5.0999999999999996" customHeight="1" x14ac:dyDescent="0.25">
      <c r="A46" s="339"/>
      <c r="B46" s="70"/>
      <c r="C46" s="69"/>
      <c r="D46" s="123"/>
      <c r="E46" s="70"/>
      <c r="F46" s="69"/>
      <c r="G46" s="123"/>
      <c r="H46" s="70"/>
      <c r="I46" s="69"/>
      <c r="J46" s="123"/>
    </row>
  </sheetData>
  <sheetProtection password="A35B" sheet="1" objects="1" scenarios="1"/>
  <phoneticPr fontId="2" type="noConversion"/>
  <printOptions horizontalCentered="1"/>
  <pageMargins left="0.36" right="0.17" top="0.79" bottom="0.6" header="0.51181102362204722" footer="0.41"/>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indexed="44"/>
    <pageSetUpPr fitToPage="1"/>
  </sheetPr>
  <dimension ref="A1:X50"/>
  <sheetViews>
    <sheetView showGridLines="0" zoomScaleNormal="100" workbookViewId="0">
      <pane xSplit="2" ySplit="3" topLeftCell="C22" activePane="bottomRight" state="frozen"/>
      <selection activeCell="M29" sqref="M29"/>
      <selection pane="topRight" activeCell="M29" sqref="M29"/>
      <selection pane="bottomLeft" activeCell="M29" sqref="M29"/>
      <selection pane="bottomRight" activeCell="M35" sqref="M35"/>
    </sheetView>
  </sheetViews>
  <sheetFormatPr defaultRowHeight="12.75" x14ac:dyDescent="0.25"/>
  <cols>
    <col min="1" max="1" width="35.7109375" style="235" customWidth="1"/>
    <col min="2" max="2" width="3.140625" style="234" customWidth="1"/>
    <col min="3" max="11" width="8.7109375" style="235" customWidth="1"/>
    <col min="12" max="16384" width="9.140625" style="235"/>
  </cols>
  <sheetData>
    <row r="1" spans="1:23" ht="13.5" x14ac:dyDescent="0.25">
      <c r="A1" s="233" t="str">
        <f>_MEB1</f>
        <v>GREATER TZANEEN ECONOMIC DEVELOPMENT AGENCY - Table D2 Budgeted Financial Performance (revenue and expenditure)</v>
      </c>
    </row>
    <row r="2" spans="1:23" s="467" customFormat="1" ht="25.5" x14ac:dyDescent="0.25">
      <c r="A2" s="457" t="str">
        <f>desc</f>
        <v>Description</v>
      </c>
      <c r="B2" s="457" t="str">
        <f>head27</f>
        <v>Ref</v>
      </c>
      <c r="C2" s="336" t="str">
        <f>head1b</f>
        <v>2014/15</v>
      </c>
      <c r="D2" s="236" t="str">
        <f>head1A</f>
        <v>2015/16</v>
      </c>
      <c r="E2" s="237" t="str">
        <f>Head1</f>
        <v>2016/17</v>
      </c>
      <c r="F2" s="238" t="str">
        <f>Head2</f>
        <v>Current Year 2017/18</v>
      </c>
      <c r="G2" s="239"/>
      <c r="H2" s="240"/>
      <c r="I2" s="238" t="str">
        <f>Head3a</f>
        <v>Medium Term Revenue and Expenditure Framework</v>
      </c>
      <c r="J2" s="239"/>
      <c r="K2" s="240"/>
    </row>
    <row r="3" spans="1:23" s="467" customFormat="1" ht="29.25" customHeight="1" x14ac:dyDescent="0.25">
      <c r="A3" s="468" t="s">
        <v>206</v>
      </c>
      <c r="B3" s="458"/>
      <c r="C3" s="461" t="str">
        <f>Head5</f>
        <v>Audited Outcome</v>
      </c>
      <c r="D3" s="462" t="str">
        <f>Head5</f>
        <v>Audited Outcome</v>
      </c>
      <c r="E3" s="460" t="str">
        <f>Head5</f>
        <v>Audited Outcome</v>
      </c>
      <c r="F3" s="463" t="str">
        <f>Head6</f>
        <v>Original Budget</v>
      </c>
      <c r="G3" s="459" t="str">
        <f>Head7</f>
        <v>Adjusted Budget</v>
      </c>
      <c r="H3" s="460" t="str">
        <f>Head8</f>
        <v>Full Year Forecast</v>
      </c>
      <c r="I3" s="463" t="str">
        <f>Head9</f>
        <v>Budget Year 2018/19</v>
      </c>
      <c r="J3" s="459" t="str">
        <f>Head10</f>
        <v>Budget Year +1 2019/20</v>
      </c>
      <c r="K3" s="460" t="str">
        <f>Head11</f>
        <v>Budget Year +2 2020/21</v>
      </c>
    </row>
    <row r="4" spans="1:23" ht="12.75" customHeight="1" x14ac:dyDescent="0.25">
      <c r="A4" s="362" t="s">
        <v>46</v>
      </c>
      <c r="B4" s="477">
        <v>1</v>
      </c>
      <c r="C4" s="244"/>
      <c r="D4" s="242"/>
      <c r="E4" s="243"/>
      <c r="F4" s="244"/>
      <c r="G4" s="242"/>
      <c r="H4" s="243"/>
      <c r="I4" s="244"/>
      <c r="J4" s="242"/>
      <c r="K4" s="243"/>
      <c r="L4" s="245"/>
      <c r="M4" s="245"/>
      <c r="N4" s="245"/>
      <c r="O4" s="245"/>
      <c r="P4" s="245"/>
      <c r="Q4" s="245"/>
      <c r="R4" s="245"/>
      <c r="S4" s="245"/>
      <c r="T4" s="245"/>
      <c r="U4" s="245"/>
      <c r="V4" s="245"/>
      <c r="W4" s="245"/>
    </row>
    <row r="5" spans="1:23" ht="12.75" customHeight="1" x14ac:dyDescent="0.25">
      <c r="A5" s="246" t="s">
        <v>409</v>
      </c>
      <c r="B5" s="363"/>
      <c r="C5" s="272"/>
      <c r="D5" s="270"/>
      <c r="E5" s="271"/>
      <c r="F5" s="380"/>
      <c r="G5" s="270"/>
      <c r="H5" s="271"/>
      <c r="I5" s="272"/>
      <c r="J5" s="270"/>
      <c r="K5" s="271"/>
      <c r="L5" s="248"/>
      <c r="M5" s="248"/>
      <c r="N5" s="248"/>
      <c r="O5" s="248"/>
      <c r="P5" s="248"/>
      <c r="Q5" s="248"/>
      <c r="R5" s="248"/>
      <c r="S5" s="248"/>
      <c r="T5" s="248"/>
      <c r="U5" s="248"/>
      <c r="V5" s="248"/>
      <c r="W5" s="248"/>
    </row>
    <row r="6" spans="1:23" ht="12.75" customHeight="1" x14ac:dyDescent="0.25">
      <c r="A6" s="246" t="s">
        <v>344</v>
      </c>
      <c r="B6" s="363"/>
      <c r="C6" s="272"/>
      <c r="D6" s="270"/>
      <c r="E6" s="271"/>
      <c r="F6" s="380"/>
      <c r="G6" s="270"/>
      <c r="H6" s="271"/>
      <c r="I6" s="272"/>
      <c r="J6" s="270"/>
      <c r="K6" s="271"/>
      <c r="L6" s="248"/>
      <c r="M6" s="248"/>
      <c r="N6" s="248"/>
      <c r="O6" s="248"/>
      <c r="P6" s="248"/>
      <c r="Q6" s="248"/>
      <c r="R6" s="248"/>
      <c r="S6" s="248"/>
      <c r="T6" s="248"/>
      <c r="U6" s="248"/>
      <c r="V6" s="248"/>
      <c r="W6" s="248"/>
    </row>
    <row r="7" spans="1:23" ht="12.75" customHeight="1" x14ac:dyDescent="0.25">
      <c r="A7" s="246" t="s">
        <v>345</v>
      </c>
      <c r="B7" s="363"/>
      <c r="C7" s="272"/>
      <c r="D7" s="270"/>
      <c r="E7" s="271"/>
      <c r="F7" s="380"/>
      <c r="G7" s="270"/>
      <c r="H7" s="271"/>
      <c r="I7" s="272"/>
      <c r="J7" s="270"/>
      <c r="K7" s="271"/>
      <c r="L7" s="248"/>
      <c r="M7" s="248"/>
      <c r="N7" s="248"/>
      <c r="O7" s="248"/>
      <c r="P7" s="248"/>
      <c r="Q7" s="248"/>
      <c r="R7" s="248"/>
      <c r="S7" s="248"/>
      <c r="T7" s="248"/>
      <c r="U7" s="248"/>
      <c r="V7" s="248"/>
      <c r="W7" s="248"/>
    </row>
    <row r="8" spans="1:23" ht="12.75" customHeight="1" x14ac:dyDescent="0.25">
      <c r="A8" s="246" t="s">
        <v>346</v>
      </c>
      <c r="B8" s="363"/>
      <c r="C8" s="272"/>
      <c r="D8" s="270"/>
      <c r="E8" s="271"/>
      <c r="F8" s="380"/>
      <c r="G8" s="270"/>
      <c r="H8" s="271"/>
      <c r="I8" s="272"/>
      <c r="J8" s="270"/>
      <c r="K8" s="271"/>
      <c r="L8" s="248"/>
      <c r="M8" s="248"/>
      <c r="N8" s="248"/>
      <c r="O8" s="248"/>
      <c r="P8" s="248"/>
      <c r="Q8" s="248"/>
      <c r="R8" s="248"/>
      <c r="S8" s="248"/>
      <c r="T8" s="248"/>
      <c r="U8" s="248"/>
      <c r="V8" s="248"/>
      <c r="W8" s="248"/>
    </row>
    <row r="9" spans="1:23" ht="12.75" customHeight="1" x14ac:dyDescent="0.25">
      <c r="A9" s="360" t="s">
        <v>835</v>
      </c>
      <c r="B9" s="363"/>
      <c r="C9" s="272"/>
      <c r="D9" s="270"/>
      <c r="E9" s="271"/>
      <c r="F9" s="380"/>
      <c r="G9" s="270"/>
      <c r="H9" s="271"/>
      <c r="I9" s="272"/>
      <c r="J9" s="270"/>
      <c r="K9" s="271"/>
      <c r="L9" s="248"/>
      <c r="M9" s="248"/>
      <c r="N9" s="248"/>
      <c r="O9" s="248"/>
      <c r="P9" s="248"/>
      <c r="Q9" s="248"/>
      <c r="R9" s="248"/>
      <c r="S9" s="248"/>
      <c r="T9" s="248"/>
      <c r="U9" s="248"/>
      <c r="V9" s="248"/>
      <c r="W9" s="248"/>
    </row>
    <row r="10" spans="1:23" ht="12.75" customHeight="1" x14ac:dyDescent="0.25">
      <c r="A10" s="246" t="s">
        <v>347</v>
      </c>
      <c r="B10" s="363"/>
      <c r="C10" s="272"/>
      <c r="D10" s="270"/>
      <c r="E10" s="271"/>
      <c r="F10" s="380"/>
      <c r="G10" s="270"/>
      <c r="H10" s="271"/>
      <c r="I10" s="272"/>
      <c r="J10" s="270"/>
      <c r="K10" s="271"/>
      <c r="L10" s="248"/>
      <c r="M10" s="248"/>
      <c r="N10" s="248"/>
      <c r="O10" s="248"/>
      <c r="P10" s="248"/>
      <c r="Q10" s="248"/>
      <c r="R10" s="248"/>
      <c r="S10" s="248"/>
      <c r="T10" s="248"/>
      <c r="U10" s="248"/>
      <c r="V10" s="248"/>
      <c r="W10" s="248"/>
    </row>
    <row r="11" spans="1:23" ht="12.75" customHeight="1" x14ac:dyDescent="0.25">
      <c r="A11" s="246" t="s">
        <v>458</v>
      </c>
      <c r="B11" s="363"/>
      <c r="C11" s="272"/>
      <c r="D11" s="270"/>
      <c r="E11" s="271"/>
      <c r="F11" s="380"/>
      <c r="G11" s="270"/>
      <c r="H11" s="271"/>
      <c r="I11" s="272"/>
      <c r="J11" s="270"/>
      <c r="K11" s="271"/>
      <c r="L11" s="248"/>
      <c r="M11" s="248"/>
      <c r="N11" s="248"/>
      <c r="O11" s="248"/>
      <c r="P11" s="248"/>
      <c r="Q11" s="248"/>
      <c r="R11" s="248"/>
      <c r="S11" s="248"/>
      <c r="T11" s="248"/>
      <c r="U11" s="248"/>
      <c r="V11" s="248"/>
      <c r="W11" s="248"/>
    </row>
    <row r="12" spans="1:23" ht="12.75" customHeight="1" x14ac:dyDescent="0.25">
      <c r="A12" s="246" t="s">
        <v>351</v>
      </c>
      <c r="B12" s="363"/>
      <c r="C12" s="272"/>
      <c r="D12" s="270"/>
      <c r="E12" s="271"/>
      <c r="F12" s="380"/>
      <c r="G12" s="270"/>
      <c r="H12" s="271"/>
      <c r="I12" s="272"/>
      <c r="J12" s="270"/>
      <c r="K12" s="271"/>
      <c r="L12" s="248"/>
      <c r="M12" s="248"/>
      <c r="N12" s="248"/>
      <c r="O12" s="248"/>
      <c r="P12" s="248"/>
      <c r="Q12" s="248"/>
      <c r="R12" s="248"/>
      <c r="S12" s="248"/>
      <c r="T12" s="248"/>
      <c r="U12" s="248"/>
      <c r="V12" s="248"/>
      <c r="W12" s="248"/>
    </row>
    <row r="13" spans="1:23" ht="12.75" customHeight="1" x14ac:dyDescent="0.25">
      <c r="A13" s="246" t="s">
        <v>352</v>
      </c>
      <c r="B13" s="363"/>
      <c r="C13" s="272"/>
      <c r="D13" s="270"/>
      <c r="E13" s="271"/>
      <c r="F13" s="380"/>
      <c r="G13" s="270"/>
      <c r="H13" s="271"/>
      <c r="I13" s="272"/>
      <c r="J13" s="270"/>
      <c r="K13" s="271"/>
      <c r="L13" s="248"/>
      <c r="M13" s="248"/>
      <c r="N13" s="248"/>
      <c r="O13" s="248"/>
      <c r="P13" s="248"/>
      <c r="Q13" s="248"/>
      <c r="R13" s="248"/>
      <c r="S13" s="248"/>
      <c r="T13" s="248"/>
      <c r="U13" s="248"/>
      <c r="V13" s="248"/>
      <c r="W13" s="248"/>
    </row>
    <row r="14" spans="1:23" ht="12.75" customHeight="1" x14ac:dyDescent="0.25">
      <c r="A14" s="246" t="s">
        <v>404</v>
      </c>
      <c r="B14" s="363"/>
      <c r="C14" s="272"/>
      <c r="D14" s="270"/>
      <c r="E14" s="271"/>
      <c r="F14" s="380"/>
      <c r="G14" s="270"/>
      <c r="H14" s="271"/>
      <c r="I14" s="272"/>
      <c r="J14" s="270"/>
      <c r="K14" s="271"/>
      <c r="L14" s="248"/>
      <c r="M14" s="248"/>
      <c r="N14" s="248"/>
      <c r="O14" s="248"/>
      <c r="P14" s="248"/>
      <c r="Q14" s="248"/>
      <c r="R14" s="248"/>
      <c r="S14" s="248"/>
      <c r="T14" s="248"/>
      <c r="U14" s="248"/>
      <c r="V14" s="248"/>
      <c r="W14" s="248"/>
    </row>
    <row r="15" spans="1:23" ht="12.75" customHeight="1" x14ac:dyDescent="0.25">
      <c r="A15" s="361" t="s">
        <v>939</v>
      </c>
      <c r="B15" s="363"/>
      <c r="C15" s="272"/>
      <c r="D15" s="270"/>
      <c r="E15" s="271"/>
      <c r="F15" s="380"/>
      <c r="G15" s="270"/>
      <c r="H15" s="271"/>
      <c r="I15" s="272"/>
      <c r="J15" s="270"/>
      <c r="K15" s="271"/>
      <c r="L15" s="248"/>
      <c r="M15" s="248"/>
      <c r="N15" s="248"/>
      <c r="O15" s="248"/>
      <c r="P15" s="248"/>
      <c r="Q15" s="248"/>
      <c r="R15" s="248"/>
      <c r="S15" s="248"/>
      <c r="T15" s="248"/>
      <c r="U15" s="248"/>
      <c r="V15" s="248"/>
      <c r="W15" s="248"/>
    </row>
    <row r="16" spans="1:23" ht="12.75" customHeight="1" x14ac:dyDescent="0.25">
      <c r="A16" s="246" t="s">
        <v>353</v>
      </c>
      <c r="B16" s="363"/>
      <c r="C16" s="272"/>
      <c r="D16" s="270"/>
      <c r="E16" s="271"/>
      <c r="F16" s="380"/>
      <c r="G16" s="270"/>
      <c r="H16" s="271"/>
      <c r="I16" s="272"/>
      <c r="J16" s="270"/>
      <c r="K16" s="271"/>
      <c r="L16" s="248"/>
      <c r="M16" s="248"/>
      <c r="N16" s="248"/>
      <c r="O16" s="248"/>
      <c r="P16" s="248"/>
      <c r="Q16" s="248"/>
      <c r="R16" s="248"/>
      <c r="S16" s="248"/>
      <c r="T16" s="248"/>
      <c r="U16" s="248"/>
      <c r="V16" s="248"/>
      <c r="W16" s="248"/>
    </row>
    <row r="17" spans="1:24" ht="12.75" customHeight="1" x14ac:dyDescent="0.25">
      <c r="A17" s="246" t="s">
        <v>131</v>
      </c>
      <c r="B17" s="363"/>
      <c r="C17" s="272"/>
      <c r="D17" s="270"/>
      <c r="E17" s="271"/>
      <c r="F17" s="380"/>
      <c r="G17" s="270"/>
      <c r="H17" s="271"/>
      <c r="I17" s="272"/>
      <c r="J17" s="270"/>
      <c r="K17" s="271"/>
      <c r="L17" s="248"/>
      <c r="M17" s="248"/>
      <c r="N17" s="248"/>
      <c r="O17" s="248"/>
      <c r="P17" s="248"/>
      <c r="Q17" s="248"/>
      <c r="R17" s="248"/>
      <c r="S17" s="248"/>
      <c r="T17" s="248"/>
      <c r="U17" s="248"/>
      <c r="V17" s="248"/>
      <c r="W17" s="248"/>
    </row>
    <row r="18" spans="1:24" ht="12.75" customHeight="1" x14ac:dyDescent="0.25">
      <c r="A18" s="361" t="s">
        <v>940</v>
      </c>
      <c r="B18" s="363"/>
      <c r="C18" s="272"/>
      <c r="D18" s="270"/>
      <c r="E18" s="271"/>
      <c r="F18" s="380"/>
      <c r="G18" s="270"/>
      <c r="H18" s="271"/>
      <c r="I18" s="272"/>
      <c r="J18" s="270"/>
      <c r="K18" s="271"/>
      <c r="L18" s="248"/>
      <c r="M18" s="248"/>
      <c r="N18" s="248"/>
      <c r="O18" s="248"/>
      <c r="P18" s="248"/>
      <c r="Q18" s="248"/>
      <c r="R18" s="248"/>
      <c r="S18" s="248"/>
      <c r="T18" s="248"/>
      <c r="U18" s="248"/>
      <c r="V18" s="248"/>
      <c r="W18" s="248"/>
    </row>
    <row r="19" spans="1:24" ht="12.75" customHeight="1" x14ac:dyDescent="0.25">
      <c r="A19" s="249" t="s">
        <v>27</v>
      </c>
      <c r="B19" s="363"/>
      <c r="C19" s="272">
        <f>4859000</f>
        <v>4859000</v>
      </c>
      <c r="D19" s="270">
        <v>5625000</v>
      </c>
      <c r="E19" s="271">
        <v>6735000</v>
      </c>
      <c r="F19" s="380">
        <f>7145835</f>
        <v>7145835</v>
      </c>
      <c r="G19" s="270">
        <v>0</v>
      </c>
      <c r="H19" s="271">
        <v>7145835</v>
      </c>
      <c r="I19" s="272">
        <f>7860418.5</f>
        <v>7860418.5</v>
      </c>
      <c r="J19" s="270">
        <f>8332043.61</f>
        <v>8332043.6100000003</v>
      </c>
      <c r="K19" s="271">
        <f>8831966.23</f>
        <v>8831966.2300000004</v>
      </c>
      <c r="L19" s="248"/>
      <c r="M19" s="248"/>
      <c r="N19" s="248"/>
      <c r="O19" s="248"/>
      <c r="P19" s="248"/>
      <c r="Q19" s="248"/>
      <c r="R19" s="248"/>
      <c r="S19" s="248"/>
      <c r="T19" s="248"/>
      <c r="U19" s="248"/>
      <c r="V19" s="248"/>
      <c r="W19" s="248"/>
      <c r="X19" s="250"/>
    </row>
    <row r="20" spans="1:24" ht="12.75" customHeight="1" x14ac:dyDescent="0.25">
      <c r="A20" s="246" t="s">
        <v>354</v>
      </c>
      <c r="B20" s="363"/>
      <c r="C20" s="272"/>
      <c r="D20" s="270"/>
      <c r="E20" s="274"/>
      <c r="F20" s="380"/>
      <c r="G20" s="270"/>
      <c r="H20" s="271"/>
      <c r="I20" s="272"/>
      <c r="J20" s="270"/>
      <c r="K20" s="271"/>
      <c r="L20" s="248"/>
      <c r="M20" s="248"/>
      <c r="N20" s="248"/>
      <c r="O20" s="248"/>
      <c r="P20" s="248"/>
      <c r="Q20" s="248"/>
      <c r="R20" s="248"/>
      <c r="S20" s="248"/>
      <c r="T20" s="248"/>
      <c r="U20" s="248"/>
      <c r="V20" s="248"/>
      <c r="W20" s="248"/>
    </row>
    <row r="21" spans="1:24" ht="24.75" customHeight="1" x14ac:dyDescent="0.25">
      <c r="A21" s="469" t="s">
        <v>557</v>
      </c>
      <c r="B21" s="470"/>
      <c r="C21" s="253">
        <f t="shared" ref="C21:K21" si="0">SUM(C5:C20)</f>
        <v>4859000</v>
      </c>
      <c r="D21" s="251">
        <f t="shared" si="0"/>
        <v>5625000</v>
      </c>
      <c r="E21" s="252">
        <f t="shared" si="0"/>
        <v>6735000</v>
      </c>
      <c r="F21" s="253">
        <f t="shared" si="0"/>
        <v>7145835</v>
      </c>
      <c r="G21" s="251">
        <f t="shared" si="0"/>
        <v>0</v>
      </c>
      <c r="H21" s="252">
        <f t="shared" si="0"/>
        <v>7145835</v>
      </c>
      <c r="I21" s="253">
        <f t="shared" si="0"/>
        <v>7860418.5</v>
      </c>
      <c r="J21" s="251">
        <f t="shared" si="0"/>
        <v>8332043.6100000003</v>
      </c>
      <c r="K21" s="252">
        <f t="shared" si="0"/>
        <v>8831966.2300000004</v>
      </c>
      <c r="L21" s="254">
        <f t="shared" ref="L21:W21" si="1">SUM(L5:L19)</f>
        <v>0</v>
      </c>
      <c r="M21" s="254">
        <f t="shared" si="1"/>
        <v>0</v>
      </c>
      <c r="N21" s="254">
        <f t="shared" si="1"/>
        <v>0</v>
      </c>
      <c r="O21" s="254">
        <f t="shared" si="1"/>
        <v>0</v>
      </c>
      <c r="P21" s="254">
        <f t="shared" si="1"/>
        <v>0</v>
      </c>
      <c r="Q21" s="254">
        <f t="shared" si="1"/>
        <v>0</v>
      </c>
      <c r="R21" s="254">
        <f t="shared" si="1"/>
        <v>0</v>
      </c>
      <c r="S21" s="254">
        <f t="shared" si="1"/>
        <v>0</v>
      </c>
      <c r="T21" s="254">
        <f t="shared" si="1"/>
        <v>0</v>
      </c>
      <c r="U21" s="254">
        <f t="shared" si="1"/>
        <v>0</v>
      </c>
      <c r="V21" s="254">
        <f t="shared" si="1"/>
        <v>0</v>
      </c>
      <c r="W21" s="254">
        <f t="shared" si="1"/>
        <v>0</v>
      </c>
    </row>
    <row r="22" spans="1:24" ht="5.0999999999999996" customHeight="1" x14ac:dyDescent="0.25">
      <c r="A22" s="255"/>
      <c r="B22" s="363"/>
      <c r="C22" s="244"/>
      <c r="D22" s="242"/>
      <c r="E22" s="243"/>
      <c r="F22" s="244"/>
      <c r="G22" s="242"/>
      <c r="H22" s="243"/>
      <c r="I22" s="244"/>
      <c r="J22" s="242"/>
      <c r="K22" s="243"/>
      <c r="L22" s="248"/>
      <c r="M22" s="248"/>
      <c r="N22" s="248"/>
      <c r="O22" s="248"/>
      <c r="P22" s="248"/>
      <c r="Q22" s="248"/>
      <c r="R22" s="248"/>
      <c r="S22" s="248"/>
      <c r="T22" s="248"/>
      <c r="U22" s="248"/>
      <c r="V22" s="248"/>
      <c r="W22" s="248"/>
    </row>
    <row r="23" spans="1:24" ht="12.75" customHeight="1" x14ac:dyDescent="0.25">
      <c r="A23" s="241" t="s">
        <v>54</v>
      </c>
      <c r="B23" s="364"/>
      <c r="C23" s="244"/>
      <c r="D23" s="242"/>
      <c r="E23" s="243"/>
      <c r="F23" s="244"/>
      <c r="G23" s="242"/>
      <c r="H23" s="243"/>
      <c r="I23" s="244"/>
      <c r="J23" s="242"/>
      <c r="K23" s="243"/>
      <c r="L23" s="248"/>
      <c r="M23" s="248"/>
      <c r="N23" s="248"/>
      <c r="O23" s="248"/>
      <c r="P23" s="248"/>
      <c r="Q23" s="248"/>
      <c r="R23" s="248"/>
      <c r="S23" s="248"/>
      <c r="T23" s="248"/>
      <c r="U23" s="248"/>
      <c r="V23" s="248"/>
      <c r="W23" s="248"/>
    </row>
    <row r="24" spans="1:24" ht="12.75" customHeight="1" x14ac:dyDescent="0.25">
      <c r="A24" s="246" t="s">
        <v>355</v>
      </c>
      <c r="B24" s="363"/>
      <c r="C24" s="272">
        <v>3231000</v>
      </c>
      <c r="D24" s="270">
        <v>2654000</v>
      </c>
      <c r="E24" s="271">
        <v>3465000</v>
      </c>
      <c r="F24" s="272">
        <v>3597681.05</v>
      </c>
      <c r="G24" s="270">
        <v>0</v>
      </c>
      <c r="H24" s="271">
        <v>3597681.05</v>
      </c>
      <c r="I24" s="272">
        <f>4633750.8</f>
        <v>4633750.8</v>
      </c>
      <c r="J24" s="270">
        <v>4932480.95</v>
      </c>
      <c r="K24" s="271">
        <v>5254005.99</v>
      </c>
      <c r="L24" s="248"/>
      <c r="M24" s="248"/>
      <c r="N24" s="248"/>
      <c r="O24" s="248"/>
      <c r="P24" s="248"/>
      <c r="Q24" s="248"/>
      <c r="R24" s="248"/>
      <c r="S24" s="248"/>
      <c r="T24" s="248"/>
      <c r="U24" s="248"/>
      <c r="V24" s="248"/>
      <c r="W24" s="248"/>
    </row>
    <row r="25" spans="1:24" ht="12.75" customHeight="1" x14ac:dyDescent="0.25">
      <c r="A25" s="246" t="s">
        <v>65</v>
      </c>
      <c r="B25" s="363"/>
      <c r="C25" s="272">
        <v>416000</v>
      </c>
      <c r="D25" s="270">
        <v>1005000</v>
      </c>
      <c r="E25" s="271">
        <v>1137000</v>
      </c>
      <c r="F25" s="272">
        <v>1024024.24</v>
      </c>
      <c r="G25" s="270">
        <v>0</v>
      </c>
      <c r="H25" s="271">
        <v>1024024.24</v>
      </c>
      <c r="I25" s="272">
        <v>625000</v>
      </c>
      <c r="J25" s="270">
        <v>658250</v>
      </c>
      <c r="K25" s="271">
        <v>691162</v>
      </c>
      <c r="L25" s="248"/>
      <c r="M25" s="248"/>
      <c r="N25" s="248"/>
      <c r="O25" s="248"/>
      <c r="P25" s="248"/>
      <c r="Q25" s="248"/>
      <c r="R25" s="248"/>
      <c r="S25" s="248"/>
      <c r="T25" s="248"/>
      <c r="U25" s="248"/>
      <c r="V25" s="248"/>
      <c r="W25" s="248"/>
    </row>
    <row r="26" spans="1:24" ht="12.75" customHeight="1" x14ac:dyDescent="0.25">
      <c r="A26" s="246" t="s">
        <v>154</v>
      </c>
      <c r="B26" s="363">
        <v>4</v>
      </c>
      <c r="C26" s="272"/>
      <c r="D26" s="270"/>
      <c r="E26" s="271"/>
      <c r="F26" s="272"/>
      <c r="G26" s="270"/>
      <c r="H26" s="271"/>
      <c r="I26" s="272"/>
      <c r="J26" s="270"/>
      <c r="K26" s="271"/>
      <c r="L26" s="248"/>
      <c r="M26" s="248"/>
      <c r="N26" s="248"/>
      <c r="O26" s="248"/>
      <c r="P26" s="248"/>
      <c r="Q26" s="248"/>
      <c r="R26" s="248"/>
      <c r="S26" s="248"/>
      <c r="T26" s="248"/>
      <c r="U26" s="248"/>
      <c r="V26" s="248"/>
      <c r="W26" s="248"/>
    </row>
    <row r="27" spans="1:24" ht="12.75" customHeight="1" x14ac:dyDescent="0.25">
      <c r="A27" s="246" t="s">
        <v>201</v>
      </c>
      <c r="B27" s="363"/>
      <c r="C27" s="272">
        <v>87000</v>
      </c>
      <c r="D27" s="270">
        <v>54000</v>
      </c>
      <c r="E27" s="271">
        <v>109000</v>
      </c>
      <c r="F27" s="272">
        <v>83836.460000000006</v>
      </c>
      <c r="G27" s="270"/>
      <c r="H27" s="271">
        <v>83836.460000000006</v>
      </c>
      <c r="I27" s="272">
        <f>75086.65</f>
        <v>75086.649999999994</v>
      </c>
      <c r="J27" s="270">
        <v>78090.11</v>
      </c>
      <c r="K27" s="271">
        <f>81213.71</f>
        <v>81213.710000000006</v>
      </c>
      <c r="L27" s="248"/>
      <c r="M27" s="248"/>
      <c r="N27" s="248"/>
      <c r="O27" s="248"/>
      <c r="P27" s="248"/>
      <c r="Q27" s="248"/>
      <c r="R27" s="248"/>
      <c r="S27" s="248"/>
      <c r="T27" s="248"/>
      <c r="U27" s="248"/>
      <c r="V27" s="248"/>
      <c r="W27" s="248"/>
    </row>
    <row r="28" spans="1:24" ht="12.75" customHeight="1" x14ac:dyDescent="0.25">
      <c r="A28" s="246" t="s">
        <v>26</v>
      </c>
      <c r="B28" s="363"/>
      <c r="C28" s="272"/>
      <c r="D28" s="270"/>
      <c r="E28" s="271"/>
      <c r="F28" s="272"/>
      <c r="G28" s="270"/>
      <c r="H28" s="271"/>
      <c r="I28" s="272"/>
      <c r="J28" s="270"/>
      <c r="K28" s="271"/>
      <c r="L28" s="248"/>
      <c r="M28" s="248"/>
      <c r="N28" s="248"/>
      <c r="O28" s="248"/>
      <c r="P28" s="248"/>
      <c r="Q28" s="248"/>
      <c r="R28" s="248"/>
      <c r="S28" s="248"/>
      <c r="T28" s="248"/>
      <c r="U28" s="248"/>
      <c r="V28" s="248"/>
      <c r="W28" s="248"/>
    </row>
    <row r="29" spans="1:24" ht="12.75" customHeight="1" x14ac:dyDescent="0.25">
      <c r="A29" s="246" t="s">
        <v>356</v>
      </c>
      <c r="B29" s="363">
        <v>2</v>
      </c>
      <c r="C29" s="272"/>
      <c r="D29" s="270"/>
      <c r="E29" s="271"/>
      <c r="F29" s="272"/>
      <c r="G29" s="270"/>
      <c r="H29" s="271"/>
      <c r="I29" s="272"/>
      <c r="J29" s="270"/>
      <c r="K29" s="271"/>
      <c r="L29" s="248"/>
      <c r="M29" s="248"/>
      <c r="N29" s="248"/>
      <c r="O29" s="248"/>
      <c r="P29" s="248"/>
      <c r="Q29" s="248"/>
      <c r="R29" s="248"/>
      <c r="S29" s="248"/>
      <c r="T29" s="248"/>
      <c r="U29" s="248"/>
      <c r="V29" s="248"/>
      <c r="W29" s="248"/>
    </row>
    <row r="30" spans="1:24" ht="12.75" customHeight="1" x14ac:dyDescent="0.25">
      <c r="A30" s="246" t="s">
        <v>403</v>
      </c>
      <c r="B30" s="363">
        <v>5</v>
      </c>
      <c r="C30" s="272"/>
      <c r="D30" s="270"/>
      <c r="E30" s="271"/>
      <c r="F30" s="272"/>
      <c r="G30" s="270"/>
      <c r="H30" s="271"/>
      <c r="I30" s="272"/>
      <c r="J30" s="270"/>
      <c r="K30" s="271"/>
      <c r="L30" s="248"/>
      <c r="M30" s="248"/>
      <c r="N30" s="248"/>
      <c r="O30" s="248"/>
      <c r="P30" s="248"/>
      <c r="Q30" s="248"/>
      <c r="R30" s="248"/>
      <c r="S30" s="248"/>
      <c r="T30" s="248"/>
      <c r="U30" s="248"/>
      <c r="V30" s="248"/>
      <c r="W30" s="248"/>
    </row>
    <row r="31" spans="1:24" ht="12.75" customHeight="1" x14ac:dyDescent="0.25">
      <c r="A31" s="246" t="s">
        <v>357</v>
      </c>
      <c r="B31" s="363"/>
      <c r="C31" s="272">
        <v>433000</v>
      </c>
      <c r="D31" s="270">
        <v>485000</v>
      </c>
      <c r="E31" s="271">
        <v>522000</v>
      </c>
      <c r="F31" s="272">
        <f>446886.62</f>
        <v>446886.62</v>
      </c>
      <c r="G31" s="270">
        <v>0</v>
      </c>
      <c r="H31" s="271">
        <v>446886.62</v>
      </c>
      <c r="I31" s="272">
        <v>502731.21</v>
      </c>
      <c r="J31" s="270">
        <v>527467.63</v>
      </c>
      <c r="K31" s="271">
        <v>559115.68999999994</v>
      </c>
      <c r="L31" s="248"/>
      <c r="M31" s="248"/>
      <c r="N31" s="248"/>
      <c r="O31" s="248"/>
      <c r="P31" s="248"/>
      <c r="Q31" s="248"/>
      <c r="R31" s="248"/>
      <c r="S31" s="248"/>
      <c r="T31" s="248"/>
      <c r="U31" s="248"/>
      <c r="V31" s="248"/>
      <c r="W31" s="248"/>
    </row>
    <row r="32" spans="1:24" ht="12.75" customHeight="1" x14ac:dyDescent="0.25">
      <c r="A32" s="361" t="s">
        <v>940</v>
      </c>
      <c r="B32" s="363"/>
      <c r="C32" s="272"/>
      <c r="D32" s="270"/>
      <c r="E32" s="271"/>
      <c r="F32" s="272"/>
      <c r="G32" s="270"/>
      <c r="H32" s="271"/>
      <c r="I32" s="272"/>
      <c r="J32" s="270"/>
      <c r="K32" s="271"/>
      <c r="L32" s="248"/>
      <c r="M32" s="248"/>
      <c r="N32" s="248"/>
      <c r="O32" s="248"/>
      <c r="P32" s="248"/>
      <c r="Q32" s="248"/>
      <c r="R32" s="248"/>
      <c r="S32" s="248"/>
      <c r="T32" s="248"/>
      <c r="U32" s="248"/>
      <c r="V32" s="248"/>
      <c r="W32" s="248"/>
    </row>
    <row r="33" spans="1:24" ht="12.75" customHeight="1" x14ac:dyDescent="0.25">
      <c r="A33" s="246" t="s">
        <v>6</v>
      </c>
      <c r="B33" s="363">
        <v>3</v>
      </c>
      <c r="C33" s="272">
        <f>1483000</f>
        <v>1483000</v>
      </c>
      <c r="D33" s="270">
        <f>1308000</f>
        <v>1308000</v>
      </c>
      <c r="E33" s="271">
        <v>1267000</v>
      </c>
      <c r="F33" s="272">
        <v>1758406.63</v>
      </c>
      <c r="G33" s="270">
        <v>0</v>
      </c>
      <c r="H33" s="271">
        <f>F33</f>
        <v>1758406.63</v>
      </c>
      <c r="I33" s="272">
        <v>1788789.84</v>
      </c>
      <c r="J33" s="270">
        <v>1900755.72</v>
      </c>
      <c r="K33" s="271">
        <v>2011469.64</v>
      </c>
      <c r="L33" s="248"/>
      <c r="M33" s="248"/>
      <c r="N33" s="248"/>
      <c r="O33" s="248"/>
      <c r="P33" s="248"/>
      <c r="Q33" s="248"/>
      <c r="R33" s="248"/>
      <c r="S33" s="248"/>
      <c r="T33" s="248"/>
      <c r="U33" s="248"/>
      <c r="V33" s="248"/>
      <c r="W33" s="248"/>
    </row>
    <row r="34" spans="1:24" ht="12.75" customHeight="1" x14ac:dyDescent="0.25">
      <c r="A34" s="246" t="s">
        <v>127</v>
      </c>
      <c r="B34" s="363"/>
      <c r="C34" s="275"/>
      <c r="D34" s="270"/>
      <c r="E34" s="271"/>
      <c r="F34" s="272"/>
      <c r="G34" s="270"/>
      <c r="H34" s="271"/>
      <c r="I34" s="272"/>
      <c r="J34" s="270"/>
      <c r="K34" s="271"/>
      <c r="L34" s="248"/>
      <c r="M34" s="248"/>
      <c r="N34" s="248"/>
      <c r="O34" s="248"/>
      <c r="P34" s="248"/>
      <c r="Q34" s="248"/>
      <c r="R34" s="248"/>
      <c r="S34" s="248"/>
      <c r="T34" s="248"/>
      <c r="U34" s="248"/>
      <c r="V34" s="248"/>
      <c r="W34" s="248"/>
    </row>
    <row r="35" spans="1:24" ht="12.75" customHeight="1" x14ac:dyDescent="0.25">
      <c r="A35" s="471" t="s">
        <v>55</v>
      </c>
      <c r="B35" s="470"/>
      <c r="C35" s="253">
        <f t="shared" ref="C35:K35" si="2">SUM(C24:C34)</f>
        <v>5650000</v>
      </c>
      <c r="D35" s="251">
        <f t="shared" si="2"/>
        <v>5506000</v>
      </c>
      <c r="E35" s="252">
        <f t="shared" si="2"/>
        <v>6500000</v>
      </c>
      <c r="F35" s="253">
        <f t="shared" si="2"/>
        <v>6910835</v>
      </c>
      <c r="G35" s="251">
        <f t="shared" si="2"/>
        <v>0</v>
      </c>
      <c r="H35" s="252">
        <f t="shared" si="2"/>
        <v>6910835</v>
      </c>
      <c r="I35" s="253">
        <f t="shared" si="2"/>
        <v>7625358.5</v>
      </c>
      <c r="J35" s="251">
        <f t="shared" si="2"/>
        <v>8097044.4100000001</v>
      </c>
      <c r="K35" s="252">
        <f t="shared" si="2"/>
        <v>8596967.0300000012</v>
      </c>
      <c r="L35" s="254"/>
      <c r="M35" s="254"/>
      <c r="N35" s="254"/>
      <c r="O35" s="254"/>
      <c r="P35" s="254"/>
      <c r="Q35" s="254"/>
      <c r="R35" s="254"/>
      <c r="S35" s="254"/>
      <c r="T35" s="254"/>
      <c r="U35" s="254"/>
      <c r="V35" s="254"/>
      <c r="W35" s="254"/>
    </row>
    <row r="36" spans="1:24" ht="5.0999999999999996" customHeight="1" x14ac:dyDescent="0.25">
      <c r="A36" s="256"/>
      <c r="B36" s="363"/>
      <c r="C36" s="244"/>
      <c r="D36" s="242"/>
      <c r="E36" s="243"/>
      <c r="F36" s="244"/>
      <c r="G36" s="242"/>
      <c r="H36" s="243"/>
      <c r="I36" s="244"/>
      <c r="J36" s="242"/>
      <c r="K36" s="243"/>
      <c r="L36" s="254"/>
      <c r="M36" s="254"/>
      <c r="N36" s="254"/>
      <c r="O36" s="254"/>
      <c r="P36" s="254"/>
      <c r="Q36" s="254"/>
      <c r="R36" s="254"/>
      <c r="S36" s="254"/>
      <c r="T36" s="254"/>
      <c r="U36" s="254"/>
      <c r="V36" s="254"/>
      <c r="W36" s="254"/>
    </row>
    <row r="37" spans="1:24" ht="12.75" customHeight="1" x14ac:dyDescent="0.25">
      <c r="A37" s="256" t="s">
        <v>56</v>
      </c>
      <c r="B37" s="363"/>
      <c r="C37" s="259">
        <f t="shared" ref="C37:K37" si="3">C21-C35</f>
        <v>-791000</v>
      </c>
      <c r="D37" s="257">
        <f t="shared" si="3"/>
        <v>119000</v>
      </c>
      <c r="E37" s="258">
        <f t="shared" si="3"/>
        <v>235000</v>
      </c>
      <c r="F37" s="259">
        <f t="shared" si="3"/>
        <v>235000</v>
      </c>
      <c r="G37" s="257">
        <f t="shared" si="3"/>
        <v>0</v>
      </c>
      <c r="H37" s="258">
        <f t="shared" si="3"/>
        <v>235000</v>
      </c>
      <c r="I37" s="259">
        <f t="shared" si="3"/>
        <v>235060</v>
      </c>
      <c r="J37" s="257">
        <f t="shared" si="3"/>
        <v>234999.20000000019</v>
      </c>
      <c r="K37" s="258">
        <f t="shared" si="3"/>
        <v>234999.19999999925</v>
      </c>
      <c r="L37" s="254"/>
      <c r="M37" s="254"/>
      <c r="N37" s="254"/>
      <c r="O37" s="254"/>
      <c r="P37" s="254"/>
      <c r="Q37" s="254"/>
      <c r="R37" s="254"/>
      <c r="S37" s="254"/>
      <c r="T37" s="254"/>
      <c r="U37" s="254"/>
      <c r="V37" s="254"/>
      <c r="W37" s="254"/>
    </row>
    <row r="38" spans="1:24" ht="18" customHeight="1" x14ac:dyDescent="0.25">
      <c r="A38" s="574" t="s">
        <v>941</v>
      </c>
      <c r="B38" s="363"/>
      <c r="C38" s="272"/>
      <c r="D38" s="270"/>
      <c r="E38" s="271"/>
      <c r="F38" s="272"/>
      <c r="G38" s="270"/>
      <c r="H38" s="271"/>
      <c r="I38" s="272"/>
      <c r="J38" s="270"/>
      <c r="K38" s="271"/>
      <c r="L38" s="254"/>
      <c r="M38" s="254"/>
      <c r="N38" s="254"/>
      <c r="O38" s="254"/>
      <c r="P38" s="254"/>
      <c r="Q38" s="254"/>
      <c r="R38" s="254"/>
      <c r="S38" s="254"/>
      <c r="T38" s="254"/>
      <c r="U38" s="254"/>
      <c r="V38" s="254"/>
      <c r="W38" s="254"/>
    </row>
    <row r="39" spans="1:24" ht="38.450000000000003" customHeight="1" x14ac:dyDescent="0.25">
      <c r="A39" s="574" t="s">
        <v>942</v>
      </c>
      <c r="B39" s="363"/>
      <c r="C39" s="272"/>
      <c r="D39" s="270"/>
      <c r="E39" s="271"/>
      <c r="F39" s="272"/>
      <c r="G39" s="270"/>
      <c r="H39" s="271"/>
      <c r="I39" s="272"/>
      <c r="J39" s="270"/>
      <c r="K39" s="271"/>
      <c r="L39" s="254"/>
      <c r="M39" s="254"/>
      <c r="N39" s="254"/>
      <c r="O39" s="254"/>
      <c r="P39" s="254"/>
      <c r="Q39" s="254"/>
      <c r="R39" s="254"/>
      <c r="S39" s="254"/>
      <c r="T39" s="254"/>
      <c r="U39" s="254"/>
      <c r="V39" s="254"/>
      <c r="W39" s="254"/>
    </row>
    <row r="40" spans="1:24" ht="12.75" customHeight="1" x14ac:dyDescent="0.25">
      <c r="A40" s="361" t="s">
        <v>943</v>
      </c>
      <c r="B40" s="363"/>
      <c r="C40" s="275"/>
      <c r="D40" s="273"/>
      <c r="E40" s="274"/>
      <c r="F40" s="275"/>
      <c r="G40" s="273"/>
      <c r="H40" s="274"/>
      <c r="I40" s="275"/>
      <c r="J40" s="273"/>
      <c r="K40" s="274"/>
      <c r="L40" s="254"/>
      <c r="M40" s="254"/>
      <c r="N40" s="254"/>
      <c r="O40" s="254"/>
      <c r="P40" s="254"/>
      <c r="Q40" s="254"/>
      <c r="R40" s="254"/>
      <c r="S40" s="254"/>
      <c r="T40" s="254"/>
      <c r="U40" s="254"/>
      <c r="V40" s="254"/>
      <c r="W40" s="254"/>
    </row>
    <row r="41" spans="1:24" ht="15" customHeight="1" x14ac:dyDescent="0.25">
      <c r="A41" s="353" t="s">
        <v>587</v>
      </c>
      <c r="B41" s="365"/>
      <c r="C41" s="262">
        <f t="shared" ref="C41:K41" si="4">SUM(C37:C40)</f>
        <v>-791000</v>
      </c>
      <c r="D41" s="260">
        <f t="shared" si="4"/>
        <v>119000</v>
      </c>
      <c r="E41" s="261">
        <f t="shared" si="4"/>
        <v>235000</v>
      </c>
      <c r="F41" s="262">
        <f t="shared" si="4"/>
        <v>235000</v>
      </c>
      <c r="G41" s="260">
        <f t="shared" si="4"/>
        <v>0</v>
      </c>
      <c r="H41" s="261">
        <f t="shared" si="4"/>
        <v>235000</v>
      </c>
      <c r="I41" s="262">
        <f t="shared" si="4"/>
        <v>235060</v>
      </c>
      <c r="J41" s="260">
        <f t="shared" si="4"/>
        <v>234999.20000000019</v>
      </c>
      <c r="K41" s="261">
        <f t="shared" si="4"/>
        <v>234999.19999999925</v>
      </c>
      <c r="L41" s="254"/>
      <c r="M41" s="254"/>
      <c r="N41" s="254"/>
      <c r="O41" s="254"/>
      <c r="P41" s="254"/>
      <c r="Q41" s="254"/>
      <c r="R41" s="254"/>
      <c r="S41" s="254"/>
      <c r="T41" s="254"/>
      <c r="U41" s="254"/>
      <c r="V41" s="254"/>
      <c r="W41" s="254"/>
    </row>
    <row r="42" spans="1:24" ht="12.75" customHeight="1" x14ac:dyDescent="0.25">
      <c r="A42" s="246" t="s">
        <v>37</v>
      </c>
      <c r="B42" s="247"/>
      <c r="C42" s="272"/>
      <c r="D42" s="270"/>
      <c r="E42" s="271"/>
      <c r="F42" s="272"/>
      <c r="G42" s="270"/>
      <c r="H42" s="271"/>
      <c r="I42" s="272"/>
      <c r="J42" s="270"/>
      <c r="K42" s="271"/>
      <c r="L42" s="254"/>
      <c r="M42" s="254"/>
      <c r="N42" s="254"/>
      <c r="O42" s="254"/>
      <c r="P42" s="254"/>
      <c r="Q42" s="254"/>
      <c r="R42" s="254"/>
      <c r="S42" s="254"/>
      <c r="T42" s="254"/>
      <c r="U42" s="254"/>
      <c r="V42" s="254"/>
      <c r="W42" s="254"/>
    </row>
    <row r="43" spans="1:24" ht="12.75" customHeight="1" x14ac:dyDescent="0.25">
      <c r="A43" s="32" t="s">
        <v>383</v>
      </c>
      <c r="B43" s="134"/>
      <c r="C43" s="34">
        <f>C41-C42</f>
        <v>-791000</v>
      </c>
      <c r="D43" s="33">
        <f t="shared" ref="D43:K43" si="5">D41-D42</f>
        <v>119000</v>
      </c>
      <c r="E43" s="33">
        <f t="shared" si="5"/>
        <v>235000</v>
      </c>
      <c r="F43" s="33">
        <f t="shared" si="5"/>
        <v>235000</v>
      </c>
      <c r="G43" s="33">
        <f t="shared" si="5"/>
        <v>0</v>
      </c>
      <c r="H43" s="33">
        <f t="shared" si="5"/>
        <v>235000</v>
      </c>
      <c r="I43" s="33">
        <f t="shared" si="5"/>
        <v>235060</v>
      </c>
      <c r="J43" s="33">
        <f t="shared" si="5"/>
        <v>234999.20000000019</v>
      </c>
      <c r="K43" s="33">
        <f t="shared" si="5"/>
        <v>234999.19999999925</v>
      </c>
      <c r="L43" s="254"/>
      <c r="M43" s="254"/>
      <c r="N43" s="254"/>
      <c r="O43" s="254"/>
      <c r="P43" s="254"/>
      <c r="Q43" s="254"/>
      <c r="R43" s="254"/>
      <c r="S43" s="254"/>
      <c r="T43" s="254"/>
      <c r="U43" s="254"/>
      <c r="V43" s="254"/>
      <c r="W43" s="254"/>
    </row>
    <row r="44" spans="1:24" ht="12.75" customHeight="1" x14ac:dyDescent="0.25">
      <c r="A44" s="559" t="s">
        <v>185</v>
      </c>
      <c r="B44" s="560"/>
      <c r="C44" s="561"/>
      <c r="D44" s="561"/>
      <c r="E44" s="561"/>
      <c r="F44" s="561"/>
      <c r="G44" s="561"/>
      <c r="H44" s="561"/>
      <c r="I44" s="561"/>
      <c r="J44" s="561"/>
      <c r="K44" s="561"/>
      <c r="L44" s="562"/>
      <c r="M44" s="562"/>
      <c r="N44" s="562"/>
      <c r="O44" s="562"/>
      <c r="P44" s="562"/>
      <c r="Q44" s="562"/>
      <c r="R44" s="254"/>
      <c r="S44" s="254"/>
      <c r="T44" s="254"/>
      <c r="U44" s="254"/>
      <c r="V44" s="254"/>
      <c r="W44" s="254"/>
      <c r="X44" s="266"/>
    </row>
    <row r="45" spans="1:24" ht="12.75" customHeight="1" x14ac:dyDescent="0.25">
      <c r="A45" s="563" t="s">
        <v>67</v>
      </c>
      <c r="B45" s="560"/>
      <c r="C45" s="564"/>
      <c r="D45" s="564"/>
      <c r="E45" s="564"/>
      <c r="F45" s="564"/>
      <c r="G45" s="564"/>
      <c r="H45" s="564"/>
      <c r="I45" s="564"/>
      <c r="J45" s="564"/>
      <c r="K45" s="564"/>
      <c r="L45" s="562"/>
      <c r="M45" s="562"/>
      <c r="N45" s="562"/>
      <c r="O45" s="562"/>
      <c r="P45" s="562"/>
      <c r="Q45" s="562"/>
      <c r="R45" s="254"/>
      <c r="S45" s="254"/>
      <c r="T45" s="254"/>
      <c r="U45" s="254"/>
      <c r="V45" s="254"/>
      <c r="W45" s="254"/>
      <c r="X45" s="266"/>
    </row>
    <row r="46" spans="1:24" ht="12.75" customHeight="1" x14ac:dyDescent="0.25">
      <c r="A46" s="563" t="s">
        <v>433</v>
      </c>
      <c r="B46" s="560"/>
      <c r="C46" s="564"/>
      <c r="D46" s="564"/>
      <c r="E46" s="564"/>
      <c r="F46" s="564"/>
      <c r="G46" s="564"/>
      <c r="H46" s="564"/>
      <c r="I46" s="564"/>
      <c r="J46" s="564"/>
      <c r="K46" s="564"/>
      <c r="L46" s="562"/>
      <c r="M46" s="562"/>
      <c r="N46" s="562"/>
      <c r="O46" s="562"/>
      <c r="P46" s="562"/>
      <c r="Q46" s="562"/>
      <c r="R46" s="254"/>
      <c r="S46" s="254"/>
      <c r="T46" s="254"/>
      <c r="U46" s="254"/>
      <c r="V46" s="254"/>
      <c r="W46" s="254"/>
      <c r="X46" s="266"/>
    </row>
    <row r="47" spans="1:24" ht="12.75" customHeight="1" x14ac:dyDescent="0.25">
      <c r="A47" s="563" t="s">
        <v>66</v>
      </c>
      <c r="B47" s="560"/>
      <c r="C47" s="564"/>
      <c r="D47" s="564"/>
      <c r="E47" s="564"/>
      <c r="F47" s="564"/>
      <c r="G47" s="564"/>
      <c r="H47" s="564"/>
      <c r="I47" s="564"/>
      <c r="J47" s="564"/>
      <c r="K47" s="564"/>
      <c r="L47" s="562"/>
      <c r="M47" s="562"/>
      <c r="N47" s="562"/>
      <c r="O47" s="562"/>
      <c r="P47" s="562"/>
      <c r="Q47" s="562"/>
      <c r="R47" s="254"/>
      <c r="S47" s="254"/>
      <c r="T47" s="254"/>
      <c r="U47" s="254"/>
      <c r="V47" s="254"/>
      <c r="W47" s="254"/>
      <c r="X47" s="266"/>
    </row>
    <row r="48" spans="1:24" ht="12.75" customHeight="1" x14ac:dyDescent="0.25">
      <c r="A48" s="563" t="s">
        <v>592</v>
      </c>
      <c r="B48" s="565"/>
      <c r="C48" s="564"/>
      <c r="D48" s="564"/>
      <c r="E48" s="564"/>
      <c r="F48" s="564"/>
      <c r="G48" s="564"/>
      <c r="H48" s="564"/>
      <c r="I48" s="564"/>
      <c r="J48" s="564"/>
      <c r="K48" s="564"/>
      <c r="L48" s="566"/>
      <c r="M48" s="566"/>
      <c r="N48" s="566"/>
      <c r="O48" s="566"/>
      <c r="P48" s="566"/>
      <c r="Q48" s="566"/>
      <c r="R48" s="248"/>
      <c r="S48" s="248"/>
      <c r="T48" s="248"/>
      <c r="U48" s="248"/>
      <c r="V48" s="248"/>
      <c r="W48" s="248"/>
    </row>
    <row r="49" spans="1:23" x14ac:dyDescent="0.25">
      <c r="A49" s="567" t="s">
        <v>590</v>
      </c>
      <c r="B49" s="269"/>
      <c r="C49" s="268"/>
      <c r="D49" s="268"/>
      <c r="E49" s="566"/>
      <c r="F49" s="566"/>
      <c r="G49" s="566"/>
      <c r="H49" s="566"/>
      <c r="I49" s="566"/>
      <c r="J49" s="566"/>
      <c r="K49" s="566"/>
      <c r="L49" s="566"/>
      <c r="M49" s="566"/>
      <c r="N49" s="566"/>
      <c r="O49" s="566"/>
      <c r="P49" s="566"/>
      <c r="Q49" s="566"/>
      <c r="R49" s="267"/>
      <c r="S49" s="267"/>
      <c r="T49" s="267"/>
      <c r="U49" s="267"/>
      <c r="V49" s="267"/>
      <c r="W49" s="267"/>
    </row>
    <row r="50" spans="1:23" x14ac:dyDescent="0.25">
      <c r="A50" s="567" t="s">
        <v>591</v>
      </c>
      <c r="B50" s="269"/>
      <c r="C50" s="268"/>
      <c r="D50" s="268"/>
      <c r="E50" s="566"/>
      <c r="F50" s="566"/>
      <c r="G50" s="566"/>
      <c r="H50" s="566"/>
      <c r="I50" s="566"/>
      <c r="J50" s="566"/>
      <c r="K50" s="566"/>
      <c r="L50" s="566"/>
      <c r="M50" s="566"/>
      <c r="N50" s="566"/>
      <c r="O50" s="566"/>
      <c r="P50" s="566"/>
      <c r="Q50" s="566"/>
      <c r="R50" s="267"/>
      <c r="S50" s="267"/>
      <c r="T50" s="267"/>
      <c r="U50" s="267"/>
      <c r="V50" s="267"/>
      <c r="W50" s="267"/>
    </row>
  </sheetData>
  <sheetProtection password="A35B" sheet="1" objects="1" scenarios="1"/>
  <phoneticPr fontId="2" type="noConversion"/>
  <printOptions horizontalCentered="1"/>
  <pageMargins left="0.35433070866141736" right="0.19685039370078741" top="0.78740157480314965" bottom="0.59055118110236227" header="0.51181102362204722" footer="0.39370078740157483"/>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tabColor indexed="44"/>
    <pageSetUpPr fitToPage="1"/>
  </sheetPr>
  <dimension ref="A1:W222"/>
  <sheetViews>
    <sheetView showGridLines="0" zoomScaleNormal="100" workbookViewId="0">
      <pane xSplit="2" ySplit="3" topLeftCell="C157" activePane="bottomRight" state="frozen"/>
      <selection activeCell="M29" sqref="M29"/>
      <selection pane="topRight" activeCell="M29" sqref="M29"/>
      <selection pane="bottomLeft" activeCell="M29" sqref="M29"/>
      <selection pane="bottomRight" activeCell="G165" sqref="G165"/>
    </sheetView>
  </sheetViews>
  <sheetFormatPr defaultRowHeight="12.75" x14ac:dyDescent="0.25"/>
  <cols>
    <col min="1" max="1" width="35.14062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_MEB2</f>
        <v>GREATER TZANEEN ECONOMIC DEVELOPMENT AGENCY - Table D3 Capital Budget by asset class and funding</v>
      </c>
    </row>
    <row r="2" spans="1:12" ht="25.5" x14ac:dyDescent="0.25">
      <c r="A2" s="456" t="str">
        <f>Vdesc</f>
        <v>Vote Description</v>
      </c>
      <c r="B2" s="464" t="str">
        <f>head27</f>
        <v>Ref</v>
      </c>
      <c r="C2" s="108" t="str">
        <f>head1b</f>
        <v>2014/15</v>
      </c>
      <c r="D2" s="21" t="str">
        <f>head1A</f>
        <v>2015/16</v>
      </c>
      <c r="E2" s="102" t="str">
        <f>Head1</f>
        <v>2016/17</v>
      </c>
      <c r="F2" s="622" t="str">
        <f>Head2</f>
        <v>Current Year 2017/18</v>
      </c>
      <c r="G2" s="623"/>
      <c r="H2" s="624"/>
      <c r="I2" s="131" t="str">
        <f>Head3a</f>
        <v>Medium Term Revenue and Expenditure Framework</v>
      </c>
      <c r="J2" s="129"/>
      <c r="K2" s="130"/>
    </row>
    <row r="3" spans="1:12" ht="38.25" x14ac:dyDescent="0.25">
      <c r="A3" s="151" t="s">
        <v>206</v>
      </c>
      <c r="B3" s="140">
        <v>1</v>
      </c>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2018/19</v>
      </c>
      <c r="J3" s="127" t="str">
        <f>Head10</f>
        <v>Budget Year +1 2019/20</v>
      </c>
      <c r="K3" s="455" t="str">
        <f>Head11</f>
        <v>Budget Year +2 2020/21</v>
      </c>
    </row>
    <row r="4" spans="1:12" ht="12.75" customHeight="1" x14ac:dyDescent="0.25">
      <c r="A4" s="22" t="s">
        <v>898</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605"/>
      <c r="C8" s="609">
        <f>SD7a!C8+SD7b!C8++SD7e!C8</f>
        <v>0</v>
      </c>
      <c r="D8" s="498">
        <f>SD7a!D8+SD7b!D8++SD7e!D8</f>
        <v>0</v>
      </c>
      <c r="E8" s="499">
        <f>SD7a!E8+SD7b!E8++SD7e!E8</f>
        <v>0</v>
      </c>
      <c r="F8" s="500">
        <f>SD7a!F8+SD7b!F8++SD7e!F8</f>
        <v>0</v>
      </c>
      <c r="G8" s="498">
        <f>SD7a!G8+SD7b!G8++SD7e!G8</f>
        <v>0</v>
      </c>
      <c r="H8" s="501">
        <f>SD7a!H8+SD7b!H8++SD7e!H8</f>
        <v>0</v>
      </c>
      <c r="I8" s="500">
        <f>SD7a!I8+SD7b!I8++SD7e!I8</f>
        <v>0</v>
      </c>
      <c r="J8" s="498">
        <f>SD7a!J8+SD7b!J8++SD7e!J8</f>
        <v>0</v>
      </c>
      <c r="K8" s="501">
        <f>SD7a!K8+SD7b!K8++SD7e!K8</f>
        <v>0</v>
      </c>
      <c r="L8" s="575"/>
    </row>
    <row r="9" spans="1:12" s="571" customFormat="1" ht="13.15" customHeight="1" x14ac:dyDescent="0.25">
      <c r="A9" s="379" t="s">
        <v>945</v>
      </c>
      <c r="B9" s="378"/>
      <c r="C9" s="609">
        <f>SD7a!C9+SD7b!C9++SD7e!C9</f>
        <v>0</v>
      </c>
      <c r="D9" s="498">
        <f>SD7a!D9+SD7b!D9++SD7e!D9</f>
        <v>0</v>
      </c>
      <c r="E9" s="499">
        <f>SD7a!E9+SD7b!E9++SD7e!E9</f>
        <v>0</v>
      </c>
      <c r="F9" s="500">
        <f>SD7a!F9+SD7b!F9++SD7e!F9</f>
        <v>0</v>
      </c>
      <c r="G9" s="498">
        <f>SD7a!G9+SD7b!G9++SD7e!G9</f>
        <v>0</v>
      </c>
      <c r="H9" s="501">
        <f>SD7a!H9+SD7b!H9++SD7e!H9</f>
        <v>0</v>
      </c>
      <c r="I9" s="500">
        <f>SD7a!I9+SD7b!I9++SD7e!I9</f>
        <v>0</v>
      </c>
      <c r="J9" s="498">
        <f>SD7a!J9+SD7b!J9++SD7e!J9</f>
        <v>0</v>
      </c>
      <c r="K9" s="501">
        <f>SD7a!K9+SD7b!K9++SD7e!K9</f>
        <v>0</v>
      </c>
      <c r="L9" s="580"/>
    </row>
    <row r="10" spans="1:12" s="571" customFormat="1" ht="13.15" customHeight="1" x14ac:dyDescent="0.25">
      <c r="A10" s="379" t="s">
        <v>946</v>
      </c>
      <c r="B10" s="378"/>
      <c r="C10" s="609">
        <f>SD7a!C10+SD7b!C10++SD7e!C10</f>
        <v>0</v>
      </c>
      <c r="D10" s="498">
        <f>SD7a!D10+SD7b!D10++SD7e!D10</f>
        <v>0</v>
      </c>
      <c r="E10" s="499">
        <f>SD7a!E10+SD7b!E10++SD7e!E10</f>
        <v>0</v>
      </c>
      <c r="F10" s="500">
        <f>SD7a!F10+SD7b!F10++SD7e!F10</f>
        <v>0</v>
      </c>
      <c r="G10" s="498">
        <f>SD7a!G10+SD7b!G10++SD7e!G10</f>
        <v>0</v>
      </c>
      <c r="H10" s="501">
        <f>SD7a!H10+SD7b!H10++SD7e!H10</f>
        <v>0</v>
      </c>
      <c r="I10" s="500">
        <f>SD7a!I10+SD7b!I10++SD7e!I10</f>
        <v>0</v>
      </c>
      <c r="J10" s="498">
        <f>SD7a!J10+SD7b!J10++SD7e!J10</f>
        <v>0</v>
      </c>
      <c r="K10" s="501">
        <f>SD7a!K10+SD7b!K10++SD7e!K10</f>
        <v>0</v>
      </c>
      <c r="L10" s="580"/>
    </row>
    <row r="11" spans="1:12" s="571" customFormat="1" ht="13.15" customHeight="1" x14ac:dyDescent="0.25">
      <c r="A11" s="379" t="s">
        <v>947</v>
      </c>
      <c r="B11" s="378"/>
      <c r="C11" s="609">
        <f>SD7a!C11+SD7b!C11++SD7e!C11</f>
        <v>0</v>
      </c>
      <c r="D11" s="498">
        <f>SD7a!D11+SD7b!D11++SD7e!D11</f>
        <v>0</v>
      </c>
      <c r="E11" s="499">
        <f>SD7a!E11+SD7b!E11++SD7e!E11</f>
        <v>0</v>
      </c>
      <c r="F11" s="500">
        <f>SD7a!F11+SD7b!F11++SD7e!F11</f>
        <v>0</v>
      </c>
      <c r="G11" s="498">
        <f>SD7a!G11+SD7b!G11++SD7e!G11</f>
        <v>0</v>
      </c>
      <c r="H11" s="501">
        <f>SD7a!H11+SD7b!H11++SD7e!H11</f>
        <v>0</v>
      </c>
      <c r="I11" s="500">
        <f>SD7a!I11+SD7b!I11++SD7e!I11</f>
        <v>0</v>
      </c>
      <c r="J11" s="498">
        <f>SD7a!J11+SD7b!J11++SD7e!J11</f>
        <v>0</v>
      </c>
      <c r="K11" s="501">
        <f>SD7a!K11+SD7b!K11++SD7e!K11</f>
        <v>0</v>
      </c>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609">
        <f>SD7a!C13+SD7b!C13++SD7e!C13</f>
        <v>0</v>
      </c>
      <c r="D13" s="498">
        <f>SD7a!D13+SD7b!D13++SD7e!D13</f>
        <v>0</v>
      </c>
      <c r="E13" s="499">
        <f>SD7a!E13+SD7b!E13++SD7e!E13</f>
        <v>0</v>
      </c>
      <c r="F13" s="500">
        <f>SD7a!F13+SD7b!F13++SD7e!F13</f>
        <v>0</v>
      </c>
      <c r="G13" s="498">
        <f>SD7a!G13+SD7b!G13++SD7e!G13</f>
        <v>0</v>
      </c>
      <c r="H13" s="501">
        <f>SD7a!H13+SD7b!H13++SD7e!H13</f>
        <v>0</v>
      </c>
      <c r="I13" s="500">
        <f>SD7a!I13+SD7b!I13++SD7e!I13</f>
        <v>0</v>
      </c>
      <c r="J13" s="498">
        <f>SD7a!J13+SD7b!J13++SD7e!J13</f>
        <v>0</v>
      </c>
      <c r="K13" s="501">
        <f>SD7a!K13+SD7b!K13++SD7e!K13</f>
        <v>0</v>
      </c>
      <c r="L13" s="580"/>
    </row>
    <row r="14" spans="1:12" s="571" customFormat="1" ht="13.15" customHeight="1" x14ac:dyDescent="0.25">
      <c r="A14" s="379" t="s">
        <v>950</v>
      </c>
      <c r="B14" s="378"/>
      <c r="C14" s="609">
        <f>SD7a!C14+SD7b!C14++SD7e!C14</f>
        <v>0</v>
      </c>
      <c r="D14" s="498">
        <f>SD7a!D14+SD7b!D14++SD7e!D14</f>
        <v>0</v>
      </c>
      <c r="E14" s="499">
        <f>SD7a!E14+SD7b!E14++SD7e!E14</f>
        <v>0</v>
      </c>
      <c r="F14" s="500">
        <f>SD7a!F14+SD7b!F14++SD7e!F14</f>
        <v>0</v>
      </c>
      <c r="G14" s="498">
        <f>SD7a!G14+SD7b!G14++SD7e!G14</f>
        <v>0</v>
      </c>
      <c r="H14" s="501">
        <f>SD7a!H14+SD7b!H14++SD7e!H14</f>
        <v>0</v>
      </c>
      <c r="I14" s="500">
        <f>SD7a!I14+SD7b!I14++SD7e!I14</f>
        <v>0</v>
      </c>
      <c r="J14" s="498">
        <f>SD7a!J14+SD7b!J14++SD7e!J14</f>
        <v>0</v>
      </c>
      <c r="K14" s="501">
        <f>SD7a!K14+SD7b!K14++SD7e!K14</f>
        <v>0</v>
      </c>
      <c r="L14" s="580"/>
    </row>
    <row r="15" spans="1:12" s="571" customFormat="1" ht="13.15" customHeight="1" x14ac:dyDescent="0.25">
      <c r="A15" s="379" t="s">
        <v>951</v>
      </c>
      <c r="B15" s="378"/>
      <c r="C15" s="609">
        <f>SD7a!C15+SD7b!C15++SD7e!C15</f>
        <v>0</v>
      </c>
      <c r="D15" s="498">
        <f>SD7a!D15+SD7b!D15++SD7e!D15</f>
        <v>0</v>
      </c>
      <c r="E15" s="499">
        <f>SD7a!E15+SD7b!E15++SD7e!E15</f>
        <v>0</v>
      </c>
      <c r="F15" s="500">
        <f>SD7a!F15+SD7b!F15++SD7e!F15</f>
        <v>0</v>
      </c>
      <c r="G15" s="498">
        <f>SD7a!G15+SD7b!G15++SD7e!G15</f>
        <v>0</v>
      </c>
      <c r="H15" s="501">
        <f>SD7a!H15+SD7b!H15++SD7e!H15</f>
        <v>0</v>
      </c>
      <c r="I15" s="500">
        <f>SD7a!I15+SD7b!I15++SD7e!I15</f>
        <v>0</v>
      </c>
      <c r="J15" s="498">
        <f>SD7a!J15+SD7b!J15++SD7e!J15</f>
        <v>0</v>
      </c>
      <c r="K15" s="501">
        <f>SD7a!K15+SD7b!K15++SD7e!K15</f>
        <v>0</v>
      </c>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609">
        <f>SD7a!C17+SD7b!C17++SD7e!C17</f>
        <v>0</v>
      </c>
      <c r="D17" s="498">
        <f>SD7a!D17+SD7b!D17++SD7e!D17</f>
        <v>0</v>
      </c>
      <c r="E17" s="499">
        <f>SD7a!E17+SD7b!E17++SD7e!E17</f>
        <v>0</v>
      </c>
      <c r="F17" s="500">
        <f>SD7a!F17+SD7b!F17++SD7e!F17</f>
        <v>0</v>
      </c>
      <c r="G17" s="498">
        <f>SD7a!G17+SD7b!G17++SD7e!G17</f>
        <v>0</v>
      </c>
      <c r="H17" s="501">
        <f>SD7a!H17+SD7b!H17++SD7e!H17</f>
        <v>0</v>
      </c>
      <c r="I17" s="500">
        <f>SD7a!I17+SD7b!I17++SD7e!I17</f>
        <v>0</v>
      </c>
      <c r="J17" s="498">
        <f>SD7a!J17+SD7b!J17++SD7e!J17</f>
        <v>0</v>
      </c>
      <c r="K17" s="501">
        <f>SD7a!K17+SD7b!K17++SD7e!K17</f>
        <v>0</v>
      </c>
      <c r="L17" s="580"/>
    </row>
    <row r="18" spans="1:12" s="571" customFormat="1" ht="13.15" customHeight="1" x14ac:dyDescent="0.25">
      <c r="A18" s="379" t="s">
        <v>954</v>
      </c>
      <c r="B18" s="378"/>
      <c r="C18" s="609">
        <f>SD7a!C18+SD7b!C18++SD7e!C18</f>
        <v>0</v>
      </c>
      <c r="D18" s="498">
        <f>SD7a!D18+SD7b!D18++SD7e!D18</f>
        <v>0</v>
      </c>
      <c r="E18" s="499">
        <f>SD7a!E18+SD7b!E18++SD7e!E18</f>
        <v>0</v>
      </c>
      <c r="F18" s="500">
        <f>SD7a!F18+SD7b!F18++SD7e!F18</f>
        <v>0</v>
      </c>
      <c r="G18" s="498">
        <f>SD7a!G18+SD7b!G18++SD7e!G18</f>
        <v>0</v>
      </c>
      <c r="H18" s="501">
        <f>SD7a!H18+SD7b!H18++SD7e!H18</f>
        <v>0</v>
      </c>
      <c r="I18" s="500">
        <f>SD7a!I18+SD7b!I18++SD7e!I18</f>
        <v>0</v>
      </c>
      <c r="J18" s="498">
        <f>SD7a!J18+SD7b!J18++SD7e!J18</f>
        <v>0</v>
      </c>
      <c r="K18" s="501">
        <f>SD7a!K18+SD7b!K18++SD7e!K18</f>
        <v>0</v>
      </c>
      <c r="L18" s="580"/>
    </row>
    <row r="19" spans="1:12" s="571" customFormat="1" ht="13.15" customHeight="1" x14ac:dyDescent="0.25">
      <c r="A19" s="379" t="s">
        <v>955</v>
      </c>
      <c r="B19" s="378"/>
      <c r="C19" s="609">
        <f>SD7a!C19+SD7b!C19++SD7e!C19</f>
        <v>0</v>
      </c>
      <c r="D19" s="498">
        <f>SD7a!D19+SD7b!D19++SD7e!D19</f>
        <v>0</v>
      </c>
      <c r="E19" s="499">
        <f>SD7a!E19+SD7b!E19++SD7e!E19</f>
        <v>0</v>
      </c>
      <c r="F19" s="500">
        <f>SD7a!F19+SD7b!F19++SD7e!F19</f>
        <v>0</v>
      </c>
      <c r="G19" s="498">
        <f>SD7a!G19+SD7b!G19++SD7e!G19</f>
        <v>0</v>
      </c>
      <c r="H19" s="501">
        <f>SD7a!H19+SD7b!H19++SD7e!H19</f>
        <v>0</v>
      </c>
      <c r="I19" s="500">
        <f>SD7a!I19+SD7b!I19++SD7e!I19</f>
        <v>0</v>
      </c>
      <c r="J19" s="498">
        <f>SD7a!J19+SD7b!J19++SD7e!J19</f>
        <v>0</v>
      </c>
      <c r="K19" s="501">
        <f>SD7a!K19+SD7b!K19++SD7e!K19</f>
        <v>0</v>
      </c>
      <c r="L19" s="580"/>
    </row>
    <row r="20" spans="1:12" s="571" customFormat="1" ht="13.15" customHeight="1" x14ac:dyDescent="0.25">
      <c r="A20" s="379" t="s">
        <v>956</v>
      </c>
      <c r="B20" s="378"/>
      <c r="C20" s="609">
        <f>SD7a!C20+SD7b!C20++SD7e!C20</f>
        <v>0</v>
      </c>
      <c r="D20" s="498">
        <f>SD7a!D20+SD7b!D20++SD7e!D20</f>
        <v>0</v>
      </c>
      <c r="E20" s="499">
        <f>SD7a!E20+SD7b!E20++SD7e!E20</f>
        <v>0</v>
      </c>
      <c r="F20" s="500">
        <f>SD7a!F20+SD7b!F20++SD7e!F20</f>
        <v>0</v>
      </c>
      <c r="G20" s="498">
        <f>SD7a!G20+SD7b!G20++SD7e!G20</f>
        <v>0</v>
      </c>
      <c r="H20" s="501">
        <f>SD7a!H20+SD7b!H20++SD7e!H20</f>
        <v>0</v>
      </c>
      <c r="I20" s="500">
        <f>SD7a!I20+SD7b!I20++SD7e!I20</f>
        <v>0</v>
      </c>
      <c r="J20" s="498">
        <f>SD7a!J20+SD7b!J20++SD7e!J20</f>
        <v>0</v>
      </c>
      <c r="K20" s="501">
        <f>SD7a!K20+SD7b!K20++SD7e!K20</f>
        <v>0</v>
      </c>
      <c r="L20" s="580"/>
    </row>
    <row r="21" spans="1:12" s="571" customFormat="1" ht="13.15" customHeight="1" x14ac:dyDescent="0.25">
      <c r="A21" s="379" t="s">
        <v>957</v>
      </c>
      <c r="B21" s="378"/>
      <c r="C21" s="609">
        <f>SD7a!C21+SD7b!C21++SD7e!C21</f>
        <v>0</v>
      </c>
      <c r="D21" s="498">
        <f>SD7a!D21+SD7b!D21++SD7e!D21</f>
        <v>0</v>
      </c>
      <c r="E21" s="499">
        <f>SD7a!E21+SD7b!E21++SD7e!E21</f>
        <v>0</v>
      </c>
      <c r="F21" s="500">
        <f>SD7a!F21+SD7b!F21++SD7e!F21</f>
        <v>0</v>
      </c>
      <c r="G21" s="498">
        <f>SD7a!G21+SD7b!G21++SD7e!G21</f>
        <v>0</v>
      </c>
      <c r="H21" s="501">
        <f>SD7a!H21+SD7b!H21++SD7e!H21</f>
        <v>0</v>
      </c>
      <c r="I21" s="500">
        <f>SD7a!I21+SD7b!I21++SD7e!I21</f>
        <v>0</v>
      </c>
      <c r="J21" s="498">
        <f>SD7a!J21+SD7b!J21++SD7e!J21</f>
        <v>0</v>
      </c>
      <c r="K21" s="501">
        <f>SD7a!K21+SD7b!K21++SD7e!K21</f>
        <v>0</v>
      </c>
      <c r="L21" s="580"/>
    </row>
    <row r="22" spans="1:12" s="571" customFormat="1" ht="13.15" customHeight="1" x14ac:dyDescent="0.25">
      <c r="A22" s="379" t="s">
        <v>958</v>
      </c>
      <c r="B22" s="378"/>
      <c r="C22" s="609">
        <f>SD7a!C22+SD7b!C22++SD7e!C22</f>
        <v>0</v>
      </c>
      <c r="D22" s="498">
        <f>SD7a!D22+SD7b!D22++SD7e!D22</f>
        <v>0</v>
      </c>
      <c r="E22" s="499">
        <f>SD7a!E22+SD7b!E22++SD7e!E22</f>
        <v>0</v>
      </c>
      <c r="F22" s="500">
        <f>SD7a!F22+SD7b!F22++SD7e!F22</f>
        <v>0</v>
      </c>
      <c r="G22" s="498">
        <f>SD7a!G22+SD7b!G22++SD7e!G22</f>
        <v>0</v>
      </c>
      <c r="H22" s="501">
        <f>SD7a!H22+SD7b!H22++SD7e!H22</f>
        <v>0</v>
      </c>
      <c r="I22" s="500">
        <f>SD7a!I22+SD7b!I22++SD7e!I22</f>
        <v>0</v>
      </c>
      <c r="J22" s="498">
        <f>SD7a!J22+SD7b!J22++SD7e!J22</f>
        <v>0</v>
      </c>
      <c r="K22" s="501">
        <f>SD7a!K22+SD7b!K22++SD7e!K22</f>
        <v>0</v>
      </c>
      <c r="L22" s="575"/>
    </row>
    <row r="23" spans="1:12" s="571" customFormat="1" ht="13.15" customHeight="1" x14ac:dyDescent="0.25">
      <c r="A23" s="379" t="s">
        <v>959</v>
      </c>
      <c r="B23" s="378"/>
      <c r="C23" s="609">
        <f>SD7a!C23+SD7b!C23++SD7e!C23</f>
        <v>0</v>
      </c>
      <c r="D23" s="498">
        <f>SD7a!D23+SD7b!D23++SD7e!D23</f>
        <v>0</v>
      </c>
      <c r="E23" s="499">
        <f>SD7a!E23+SD7b!E23++SD7e!E23</f>
        <v>0</v>
      </c>
      <c r="F23" s="500">
        <f>SD7a!F23+SD7b!F23++SD7e!F23</f>
        <v>0</v>
      </c>
      <c r="G23" s="498">
        <f>SD7a!G23+SD7b!G23++SD7e!G23</f>
        <v>0</v>
      </c>
      <c r="H23" s="501">
        <f>SD7a!H23+SD7b!H23++SD7e!H23</f>
        <v>0</v>
      </c>
      <c r="I23" s="500">
        <f>SD7a!I23+SD7b!I23++SD7e!I23</f>
        <v>0</v>
      </c>
      <c r="J23" s="498">
        <f>SD7a!J23+SD7b!J23++SD7e!J23</f>
        <v>0</v>
      </c>
      <c r="K23" s="501">
        <f>SD7a!K23+SD7b!K23++SD7e!K23</f>
        <v>0</v>
      </c>
      <c r="L23" s="580"/>
    </row>
    <row r="24" spans="1:12" s="571" customFormat="1" ht="13.15" customHeight="1" x14ac:dyDescent="0.25">
      <c r="A24" s="379" t="s">
        <v>960</v>
      </c>
      <c r="B24" s="378"/>
      <c r="C24" s="609">
        <f>SD7a!C24+SD7b!C24++SD7e!C24</f>
        <v>0</v>
      </c>
      <c r="D24" s="498">
        <f>SD7a!D24+SD7b!D24++SD7e!D24</f>
        <v>0</v>
      </c>
      <c r="E24" s="499">
        <f>SD7a!E24+SD7b!E24++SD7e!E24</f>
        <v>0</v>
      </c>
      <c r="F24" s="500">
        <f>SD7a!F24+SD7b!F24++SD7e!F24</f>
        <v>0</v>
      </c>
      <c r="G24" s="498">
        <f>SD7a!G24+SD7b!G24++SD7e!G24</f>
        <v>0</v>
      </c>
      <c r="H24" s="501">
        <f>SD7a!H24+SD7b!H24++SD7e!H24</f>
        <v>0</v>
      </c>
      <c r="I24" s="500">
        <f>SD7a!I24+SD7b!I24++SD7e!I24</f>
        <v>0</v>
      </c>
      <c r="J24" s="498">
        <f>SD7a!J24+SD7b!J24++SD7e!J24</f>
        <v>0</v>
      </c>
      <c r="K24" s="501">
        <f>SD7a!K24+SD7b!K24++SD7e!K24</f>
        <v>0</v>
      </c>
      <c r="L24" s="580"/>
    </row>
    <row r="25" spans="1:12" s="571" customFormat="1" ht="13.15" customHeight="1" x14ac:dyDescent="0.25">
      <c r="A25" s="379" t="s">
        <v>947</v>
      </c>
      <c r="B25" s="378"/>
      <c r="C25" s="609">
        <f>SD7a!C25+SD7b!C25++SD7e!C25</f>
        <v>0</v>
      </c>
      <c r="D25" s="498">
        <f>SD7a!D25+SD7b!D25++SD7e!D25</f>
        <v>0</v>
      </c>
      <c r="E25" s="499">
        <f>SD7a!E25+SD7b!E25++SD7e!E25</f>
        <v>0</v>
      </c>
      <c r="F25" s="500">
        <f>SD7a!F25+SD7b!F25++SD7e!F25</f>
        <v>0</v>
      </c>
      <c r="G25" s="498">
        <f>SD7a!G25+SD7b!G25++SD7e!G25</f>
        <v>0</v>
      </c>
      <c r="H25" s="501">
        <f>SD7a!H25+SD7b!H25++SD7e!H25</f>
        <v>0</v>
      </c>
      <c r="I25" s="500">
        <f>SD7a!I25+SD7b!I25++SD7e!I25</f>
        <v>0</v>
      </c>
      <c r="J25" s="498">
        <f>SD7a!J25+SD7b!J25++SD7e!J25</f>
        <v>0</v>
      </c>
      <c r="K25" s="501">
        <f>SD7a!K25+SD7b!K25++SD7e!K25</f>
        <v>0</v>
      </c>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609">
        <f>SD7a!C27+SD7b!C27++SD7e!C27</f>
        <v>0</v>
      </c>
      <c r="D27" s="498">
        <f>SD7a!D27+SD7b!D27++SD7e!D27</f>
        <v>0</v>
      </c>
      <c r="E27" s="499">
        <f>SD7a!E27+SD7b!E27++SD7e!E27</f>
        <v>0</v>
      </c>
      <c r="F27" s="500">
        <f>SD7a!F27+SD7b!F27++SD7e!F27</f>
        <v>0</v>
      </c>
      <c r="G27" s="498">
        <f>SD7a!G27+SD7b!G27++SD7e!G27</f>
        <v>0</v>
      </c>
      <c r="H27" s="501">
        <f>SD7a!H27+SD7b!H27++SD7e!H27</f>
        <v>0</v>
      </c>
      <c r="I27" s="500">
        <f>SD7a!I27+SD7b!I27++SD7e!I27</f>
        <v>0</v>
      </c>
      <c r="J27" s="498">
        <f>SD7a!J27+SD7b!J27++SD7e!J27</f>
        <v>0</v>
      </c>
      <c r="K27" s="501">
        <f>SD7a!K27+SD7b!K27++SD7e!K27</f>
        <v>0</v>
      </c>
      <c r="L27" s="518"/>
    </row>
    <row r="28" spans="1:12" ht="13.15" customHeight="1" x14ac:dyDescent="0.25">
      <c r="A28" s="379" t="s">
        <v>963</v>
      </c>
      <c r="B28" s="378"/>
      <c r="C28" s="609">
        <f>SD7a!C28+SD7b!C28++SD7e!C28</f>
        <v>0</v>
      </c>
      <c r="D28" s="498">
        <f>SD7a!D28+SD7b!D28++SD7e!D28</f>
        <v>0</v>
      </c>
      <c r="E28" s="499">
        <f>SD7a!E28+SD7b!E28++SD7e!E28</f>
        <v>0</v>
      </c>
      <c r="F28" s="500">
        <f>SD7a!F28+SD7b!F28++SD7e!F28</f>
        <v>0</v>
      </c>
      <c r="G28" s="498">
        <f>SD7a!G28+SD7b!G28++SD7e!G28</f>
        <v>0</v>
      </c>
      <c r="H28" s="501">
        <f>SD7a!H28+SD7b!H28++SD7e!H28</f>
        <v>0</v>
      </c>
      <c r="I28" s="500">
        <f>SD7a!I28+SD7b!I28++SD7e!I28</f>
        <v>0</v>
      </c>
      <c r="J28" s="498">
        <f>SD7a!J28+SD7b!J28++SD7e!J28</f>
        <v>0</v>
      </c>
      <c r="K28" s="501">
        <f>SD7a!K28+SD7b!K28++SD7e!K28</f>
        <v>0</v>
      </c>
      <c r="L28" s="580"/>
    </row>
    <row r="29" spans="1:12" ht="13.15" customHeight="1" x14ac:dyDescent="0.25">
      <c r="A29" s="379" t="s">
        <v>964</v>
      </c>
      <c r="B29" s="378"/>
      <c r="C29" s="609">
        <f>SD7a!C29+SD7b!C29++SD7e!C29</f>
        <v>0</v>
      </c>
      <c r="D29" s="498">
        <f>SD7a!D29+SD7b!D29++SD7e!D29</f>
        <v>0</v>
      </c>
      <c r="E29" s="499">
        <f>SD7a!E29+SD7b!E29++SD7e!E29</f>
        <v>0</v>
      </c>
      <c r="F29" s="500">
        <f>SD7a!F29+SD7b!F29++SD7e!F29</f>
        <v>0</v>
      </c>
      <c r="G29" s="498">
        <f>SD7a!G29+SD7b!G29++SD7e!G29</f>
        <v>0</v>
      </c>
      <c r="H29" s="501">
        <f>SD7a!H29+SD7b!H29++SD7e!H29</f>
        <v>0</v>
      </c>
      <c r="I29" s="500">
        <f>SD7a!I29+SD7b!I29++SD7e!I29</f>
        <v>0</v>
      </c>
      <c r="J29" s="498">
        <f>SD7a!J29+SD7b!J29++SD7e!J29</f>
        <v>0</v>
      </c>
      <c r="K29" s="501">
        <f>SD7a!K29+SD7b!K29++SD7e!K29</f>
        <v>0</v>
      </c>
      <c r="L29" s="580"/>
    </row>
    <row r="30" spans="1:12" ht="13.15" customHeight="1" x14ac:dyDescent="0.25">
      <c r="A30" s="379" t="s">
        <v>965</v>
      </c>
      <c r="B30" s="378"/>
      <c r="C30" s="609">
        <f>SD7a!C30+SD7b!C30++SD7e!C30</f>
        <v>0</v>
      </c>
      <c r="D30" s="498">
        <f>SD7a!D30+SD7b!D30++SD7e!D30</f>
        <v>0</v>
      </c>
      <c r="E30" s="499">
        <f>SD7a!E30+SD7b!E30++SD7e!E30</f>
        <v>0</v>
      </c>
      <c r="F30" s="500">
        <f>SD7a!F30+SD7b!F30++SD7e!F30</f>
        <v>0</v>
      </c>
      <c r="G30" s="498">
        <f>SD7a!G30+SD7b!G30++SD7e!G30</f>
        <v>0</v>
      </c>
      <c r="H30" s="501">
        <f>SD7a!H30+SD7b!H30++SD7e!H30</f>
        <v>0</v>
      </c>
      <c r="I30" s="500">
        <f>SD7a!I30+SD7b!I30++SD7e!I30</f>
        <v>0</v>
      </c>
      <c r="J30" s="498">
        <f>SD7a!J30+SD7b!J30++SD7e!J30</f>
        <v>0</v>
      </c>
      <c r="K30" s="501">
        <f>SD7a!K30+SD7b!K30++SD7e!K30</f>
        <v>0</v>
      </c>
      <c r="L30" s="580"/>
    </row>
    <row r="31" spans="1:12" ht="13.15" customHeight="1" x14ac:dyDescent="0.25">
      <c r="A31" s="379" t="s">
        <v>966</v>
      </c>
      <c r="B31" s="378"/>
      <c r="C31" s="609">
        <f>SD7a!C31+SD7b!C31++SD7e!C31</f>
        <v>0</v>
      </c>
      <c r="D31" s="498">
        <f>SD7a!D31+SD7b!D31++SD7e!D31</f>
        <v>0</v>
      </c>
      <c r="E31" s="499">
        <f>SD7a!E31+SD7b!E31++SD7e!E31</f>
        <v>0</v>
      </c>
      <c r="F31" s="500">
        <f>SD7a!F31+SD7b!F31++SD7e!F31</f>
        <v>0</v>
      </c>
      <c r="G31" s="498">
        <f>SD7a!G31+SD7b!G31++SD7e!G31</f>
        <v>0</v>
      </c>
      <c r="H31" s="501">
        <f>SD7a!H31+SD7b!H31++SD7e!H31</f>
        <v>0</v>
      </c>
      <c r="I31" s="500">
        <f>SD7a!I31+SD7b!I31++SD7e!I31</f>
        <v>0</v>
      </c>
      <c r="J31" s="498">
        <f>SD7a!J31+SD7b!J31++SD7e!J31</f>
        <v>0</v>
      </c>
      <c r="K31" s="501">
        <f>SD7a!K31+SD7b!K31++SD7e!K31</f>
        <v>0</v>
      </c>
      <c r="L31" s="580"/>
    </row>
    <row r="32" spans="1:12" ht="13.15" customHeight="1" x14ac:dyDescent="0.25">
      <c r="A32" s="379" t="s">
        <v>967</v>
      </c>
      <c r="B32" s="378"/>
      <c r="C32" s="609">
        <f>SD7a!C32+SD7b!C32++SD7e!C32</f>
        <v>0</v>
      </c>
      <c r="D32" s="498">
        <f>SD7a!D32+SD7b!D32++SD7e!D32</f>
        <v>0</v>
      </c>
      <c r="E32" s="499">
        <f>SD7a!E32+SD7b!E32++SD7e!E32</f>
        <v>0</v>
      </c>
      <c r="F32" s="500">
        <f>SD7a!F32+SD7b!F32++SD7e!F32</f>
        <v>0</v>
      </c>
      <c r="G32" s="498">
        <f>SD7a!G32+SD7b!G32++SD7e!G32</f>
        <v>0</v>
      </c>
      <c r="H32" s="501">
        <f>SD7a!H32+SD7b!H32++SD7e!H32</f>
        <v>0</v>
      </c>
      <c r="I32" s="500">
        <f>SD7a!I32+SD7b!I32++SD7e!I32</f>
        <v>0</v>
      </c>
      <c r="J32" s="498">
        <f>SD7a!J32+SD7b!J32++SD7e!J32</f>
        <v>0</v>
      </c>
      <c r="K32" s="501">
        <f>SD7a!K32+SD7b!K32++SD7e!K32</f>
        <v>0</v>
      </c>
      <c r="L32" s="580"/>
    </row>
    <row r="33" spans="1:15" ht="13.15" customHeight="1" x14ac:dyDescent="0.25">
      <c r="A33" s="379" t="s">
        <v>968</v>
      </c>
      <c r="B33" s="378"/>
      <c r="C33" s="609">
        <f>SD7a!C33+SD7b!C33++SD7e!C33</f>
        <v>0</v>
      </c>
      <c r="D33" s="498">
        <f>SD7a!D33+SD7b!D33++SD7e!D33</f>
        <v>0</v>
      </c>
      <c r="E33" s="499">
        <f>SD7a!E33+SD7b!E33++SD7e!E33</f>
        <v>0</v>
      </c>
      <c r="F33" s="500">
        <f>SD7a!F33+SD7b!F33++SD7e!F33</f>
        <v>0</v>
      </c>
      <c r="G33" s="498">
        <f>SD7a!G33+SD7b!G33++SD7e!G33</f>
        <v>0</v>
      </c>
      <c r="H33" s="501">
        <f>SD7a!H33+SD7b!H33++SD7e!H33</f>
        <v>0</v>
      </c>
      <c r="I33" s="500">
        <f>SD7a!I33+SD7b!I33++SD7e!I33</f>
        <v>0</v>
      </c>
      <c r="J33" s="498">
        <f>SD7a!J33+SD7b!J33++SD7e!J33</f>
        <v>0</v>
      </c>
      <c r="K33" s="501">
        <f>SD7a!K33+SD7b!K33++SD7e!K33</f>
        <v>0</v>
      </c>
      <c r="L33" s="580"/>
    </row>
    <row r="34" spans="1:15" ht="13.15" customHeight="1" x14ac:dyDescent="0.25">
      <c r="A34" s="379" t="s">
        <v>969</v>
      </c>
      <c r="B34" s="378"/>
      <c r="C34" s="609">
        <f>SD7a!C34+SD7b!C34++SD7e!C34</f>
        <v>0</v>
      </c>
      <c r="D34" s="498">
        <f>SD7a!D34+SD7b!D34++SD7e!D34</f>
        <v>0</v>
      </c>
      <c r="E34" s="499">
        <f>SD7a!E34+SD7b!E34++SD7e!E34</f>
        <v>0</v>
      </c>
      <c r="F34" s="500">
        <f>SD7a!F34+SD7b!F34++SD7e!F34</f>
        <v>0</v>
      </c>
      <c r="G34" s="498">
        <f>SD7a!G34+SD7b!G34++SD7e!G34</f>
        <v>0</v>
      </c>
      <c r="H34" s="501">
        <f>SD7a!H34+SD7b!H34++SD7e!H34</f>
        <v>0</v>
      </c>
      <c r="I34" s="500">
        <f>SD7a!I34+SD7b!I34++SD7e!I34</f>
        <v>0</v>
      </c>
      <c r="J34" s="498">
        <f>SD7a!J34+SD7b!J34++SD7e!J34</f>
        <v>0</v>
      </c>
      <c r="K34" s="501">
        <f>SD7a!K34+SD7b!K34++SD7e!K34</f>
        <v>0</v>
      </c>
      <c r="L34" s="580"/>
    </row>
    <row r="35" spans="1:15" ht="13.15" customHeight="1" x14ac:dyDescent="0.25">
      <c r="A35" s="379" t="s">
        <v>970</v>
      </c>
      <c r="B35" s="378"/>
      <c r="C35" s="609">
        <f>SD7a!C35+SD7b!C35++SD7e!C35</f>
        <v>0</v>
      </c>
      <c r="D35" s="498">
        <f>SD7a!D35+SD7b!D35++SD7e!D35</f>
        <v>0</v>
      </c>
      <c r="E35" s="499">
        <f>SD7a!E35+SD7b!E35++SD7e!E35</f>
        <v>0</v>
      </c>
      <c r="F35" s="500">
        <f>SD7a!F35+SD7b!F35++SD7e!F35</f>
        <v>0</v>
      </c>
      <c r="G35" s="498">
        <f>SD7a!G35+SD7b!G35++SD7e!G35</f>
        <v>0</v>
      </c>
      <c r="H35" s="501">
        <f>SD7a!H35+SD7b!H35++SD7e!H35</f>
        <v>0</v>
      </c>
      <c r="I35" s="500">
        <f>SD7a!I35+SD7b!I35++SD7e!I35</f>
        <v>0</v>
      </c>
      <c r="J35" s="498">
        <f>SD7a!J35+SD7b!J35++SD7e!J35</f>
        <v>0</v>
      </c>
      <c r="K35" s="501">
        <f>SD7a!K35+SD7b!K35++SD7e!K35</f>
        <v>0</v>
      </c>
      <c r="L35" s="580"/>
    </row>
    <row r="36" spans="1:15" ht="13.15" customHeight="1" x14ac:dyDescent="0.25">
      <c r="A36" s="379" t="s">
        <v>947</v>
      </c>
      <c r="B36" s="378"/>
      <c r="C36" s="609">
        <f>SD7a!C36+SD7b!C36++SD7e!C36</f>
        <v>0</v>
      </c>
      <c r="D36" s="498">
        <f>SD7a!D36+SD7b!D36++SD7e!D36</f>
        <v>0</v>
      </c>
      <c r="E36" s="499">
        <f>SD7a!E36+SD7b!E36++SD7e!E36</f>
        <v>0</v>
      </c>
      <c r="F36" s="500">
        <f>SD7a!F36+SD7b!F36++SD7e!F36</f>
        <v>0</v>
      </c>
      <c r="G36" s="498">
        <f>SD7a!G36+SD7b!G36++SD7e!G36</f>
        <v>0</v>
      </c>
      <c r="H36" s="501">
        <f>SD7a!H36+SD7b!H36++SD7e!H36</f>
        <v>0</v>
      </c>
      <c r="I36" s="500">
        <f>SD7a!I36+SD7b!I36++SD7e!I36</f>
        <v>0</v>
      </c>
      <c r="J36" s="498">
        <f>SD7a!J36+SD7b!J36++SD7e!J36</f>
        <v>0</v>
      </c>
      <c r="K36" s="501">
        <f>SD7a!K36+SD7b!K36++SD7e!K36</f>
        <v>0</v>
      </c>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609">
        <f>SD7a!C38+SD7b!C38++SD7e!C38</f>
        <v>0</v>
      </c>
      <c r="D38" s="498">
        <f>SD7a!D38+SD7b!D38++SD7e!D38</f>
        <v>0</v>
      </c>
      <c r="E38" s="499">
        <f>SD7a!E38+SD7b!E38++SD7e!E38</f>
        <v>0</v>
      </c>
      <c r="F38" s="500">
        <f>SD7a!F38+SD7b!F38++SD7e!F38</f>
        <v>0</v>
      </c>
      <c r="G38" s="498">
        <f>SD7a!G38+SD7b!G38++SD7e!G38</f>
        <v>0</v>
      </c>
      <c r="H38" s="501">
        <f>SD7a!H38+SD7b!H38++SD7e!H38</f>
        <v>0</v>
      </c>
      <c r="I38" s="500">
        <f>SD7a!I38+SD7b!I38++SD7e!I38</f>
        <v>0</v>
      </c>
      <c r="J38" s="498">
        <f>SD7a!J38+SD7b!J38++SD7e!J38</f>
        <v>0</v>
      </c>
      <c r="K38" s="501">
        <f>SD7a!K38+SD7b!K38++SD7e!K38</f>
        <v>0</v>
      </c>
      <c r="L38" s="580"/>
    </row>
    <row r="39" spans="1:15" ht="13.15" customHeight="1" x14ac:dyDescent="0.25">
      <c r="A39" s="379" t="s">
        <v>558</v>
      </c>
      <c r="B39" s="378"/>
      <c r="C39" s="609">
        <f>SD7a!C39+SD7b!C39++SD7e!C39</f>
        <v>0</v>
      </c>
      <c r="D39" s="498">
        <f>SD7a!D39+SD7b!D39++SD7e!D39</f>
        <v>0</v>
      </c>
      <c r="E39" s="499">
        <f>SD7a!E39+SD7b!E39++SD7e!E39</f>
        <v>0</v>
      </c>
      <c r="F39" s="500">
        <f>SD7a!F39+SD7b!F39++SD7e!F39</f>
        <v>0</v>
      </c>
      <c r="G39" s="498">
        <f>SD7a!G39+SD7b!G39++SD7e!G39</f>
        <v>0</v>
      </c>
      <c r="H39" s="501">
        <f>SD7a!H39+SD7b!H39++SD7e!H39</f>
        <v>0</v>
      </c>
      <c r="I39" s="500">
        <f>SD7a!I39+SD7b!I39++SD7e!I39</f>
        <v>0</v>
      </c>
      <c r="J39" s="498">
        <f>SD7a!J39+SD7b!J39++SD7e!J39</f>
        <v>0</v>
      </c>
      <c r="K39" s="501">
        <f>SD7a!K39+SD7b!K39++SD7e!K39</f>
        <v>0</v>
      </c>
      <c r="L39" s="580"/>
    </row>
    <row r="40" spans="1:15" ht="13.15" customHeight="1" x14ac:dyDescent="0.25">
      <c r="A40" s="379" t="s">
        <v>973</v>
      </c>
      <c r="B40" s="378"/>
      <c r="C40" s="609">
        <f>SD7a!C40+SD7b!C40++SD7e!C40</f>
        <v>0</v>
      </c>
      <c r="D40" s="498">
        <f>SD7a!D40+SD7b!D40++SD7e!D40</f>
        <v>0</v>
      </c>
      <c r="E40" s="499">
        <f>SD7a!E40+SD7b!E40++SD7e!E40</f>
        <v>0</v>
      </c>
      <c r="F40" s="500">
        <f>SD7a!F40+SD7b!F40++SD7e!F40</f>
        <v>0</v>
      </c>
      <c r="G40" s="498">
        <f>SD7a!G40+SD7b!G40++SD7e!G40</f>
        <v>0</v>
      </c>
      <c r="H40" s="501">
        <f>SD7a!H40+SD7b!H40++SD7e!H40</f>
        <v>0</v>
      </c>
      <c r="I40" s="500">
        <f>SD7a!I40+SD7b!I40++SD7e!I40</f>
        <v>0</v>
      </c>
      <c r="J40" s="498">
        <f>SD7a!J40+SD7b!J40++SD7e!J40</f>
        <v>0</v>
      </c>
      <c r="K40" s="501">
        <f>SD7a!K40+SD7b!K40++SD7e!K40</f>
        <v>0</v>
      </c>
      <c r="L40" s="518"/>
    </row>
    <row r="41" spans="1:15" ht="13.15" customHeight="1" x14ac:dyDescent="0.25">
      <c r="A41" s="379" t="s">
        <v>974</v>
      </c>
      <c r="B41" s="378"/>
      <c r="C41" s="609">
        <f>SD7a!C41+SD7b!C41++SD7e!C41</f>
        <v>0</v>
      </c>
      <c r="D41" s="498">
        <f>SD7a!D41+SD7b!D41++SD7e!D41</f>
        <v>0</v>
      </c>
      <c r="E41" s="499">
        <f>SD7a!E41+SD7b!E41++SD7e!E41</f>
        <v>0</v>
      </c>
      <c r="F41" s="500">
        <f>SD7a!F41+SD7b!F41++SD7e!F41</f>
        <v>0</v>
      </c>
      <c r="G41" s="498">
        <f>SD7a!G41+SD7b!G41++SD7e!G41</f>
        <v>0</v>
      </c>
      <c r="H41" s="501">
        <f>SD7a!H41+SD7b!H41++SD7e!H41</f>
        <v>0</v>
      </c>
      <c r="I41" s="500">
        <f>SD7a!I41+SD7b!I41++SD7e!I41</f>
        <v>0</v>
      </c>
      <c r="J41" s="498">
        <f>SD7a!J41+SD7b!J41++SD7e!J41</f>
        <v>0</v>
      </c>
      <c r="K41" s="501">
        <f>SD7a!K41+SD7b!K41++SD7e!K41</f>
        <v>0</v>
      </c>
      <c r="L41" s="580"/>
    </row>
    <row r="42" spans="1:15" ht="13.15" customHeight="1" x14ac:dyDescent="0.25">
      <c r="A42" s="379" t="s">
        <v>975</v>
      </c>
      <c r="B42" s="378"/>
      <c r="C42" s="609">
        <f>SD7a!C42+SD7b!C42++SD7e!C42</f>
        <v>0</v>
      </c>
      <c r="D42" s="498">
        <f>SD7a!D42+SD7b!D42++SD7e!D42</f>
        <v>0</v>
      </c>
      <c r="E42" s="499">
        <f>SD7a!E42+SD7b!E42++SD7e!E42</f>
        <v>0</v>
      </c>
      <c r="F42" s="500">
        <f>SD7a!F42+SD7b!F42++SD7e!F42</f>
        <v>0</v>
      </c>
      <c r="G42" s="498">
        <f>SD7a!G42+SD7b!G42++SD7e!G42</f>
        <v>0</v>
      </c>
      <c r="H42" s="501">
        <f>SD7a!H42+SD7b!H42++SD7e!H42</f>
        <v>0</v>
      </c>
      <c r="I42" s="500">
        <f>SD7a!I42+SD7b!I42++SD7e!I42</f>
        <v>0</v>
      </c>
      <c r="J42" s="498">
        <f>SD7a!J42+SD7b!J42++SD7e!J42</f>
        <v>0</v>
      </c>
      <c r="K42" s="501">
        <f>SD7a!K42+SD7b!K42++SD7e!K42</f>
        <v>0</v>
      </c>
      <c r="L42" s="518"/>
    </row>
    <row r="43" spans="1:15" ht="13.15" customHeight="1" x14ac:dyDescent="0.25">
      <c r="A43" s="379" t="s">
        <v>947</v>
      </c>
      <c r="B43" s="378"/>
      <c r="C43" s="609">
        <f>SD7a!C43+SD7b!C43++SD7e!C43</f>
        <v>0</v>
      </c>
      <c r="D43" s="498">
        <f>SD7a!D43+SD7b!D43++SD7e!D43</f>
        <v>0</v>
      </c>
      <c r="E43" s="499">
        <f>SD7a!E43+SD7b!E43++SD7e!E43</f>
        <v>0</v>
      </c>
      <c r="F43" s="500">
        <f>SD7a!F43+SD7b!F43++SD7e!F43</f>
        <v>0</v>
      </c>
      <c r="G43" s="498">
        <f>SD7a!G43+SD7b!G43++SD7e!G43</f>
        <v>0</v>
      </c>
      <c r="H43" s="501">
        <f>SD7a!H43+SD7b!H43++SD7e!H43</f>
        <v>0</v>
      </c>
      <c r="I43" s="500">
        <f>SD7a!I43+SD7b!I43++SD7e!I43</f>
        <v>0</v>
      </c>
      <c r="J43" s="498">
        <f>SD7a!J43+SD7b!J43++SD7e!J43</f>
        <v>0</v>
      </c>
      <c r="K43" s="501">
        <f>SD7a!K43+SD7b!K43++SD7e!K43</f>
        <v>0</v>
      </c>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609">
        <f>SD7a!C45+SD7b!C45++SD7e!C45</f>
        <v>0</v>
      </c>
      <c r="D45" s="498">
        <f>SD7a!D45+SD7b!D45++SD7e!D45</f>
        <v>0</v>
      </c>
      <c r="E45" s="499">
        <f>SD7a!E45+SD7b!E45++SD7e!E45</f>
        <v>0</v>
      </c>
      <c r="F45" s="500">
        <f>SD7a!F45+SD7b!F45++SD7e!F45</f>
        <v>0</v>
      </c>
      <c r="G45" s="498">
        <f>SD7a!G45+SD7b!G45++SD7e!G45</f>
        <v>0</v>
      </c>
      <c r="H45" s="501">
        <f>SD7a!H45+SD7b!H45++SD7e!H45</f>
        <v>0</v>
      </c>
      <c r="I45" s="500">
        <f>SD7a!I45+SD7b!I45++SD7e!I45</f>
        <v>0</v>
      </c>
      <c r="J45" s="498">
        <f>SD7a!J45+SD7b!J45++SD7e!J45</f>
        <v>0</v>
      </c>
      <c r="K45" s="501">
        <f>SD7a!K45+SD7b!K45++SD7e!K45</f>
        <v>0</v>
      </c>
      <c r="L45" s="518"/>
    </row>
    <row r="46" spans="1:15" ht="13.15" customHeight="1" x14ac:dyDescent="0.25">
      <c r="A46" s="379" t="s">
        <v>978</v>
      </c>
      <c r="B46" s="378"/>
      <c r="C46" s="609">
        <f>SD7a!C46+SD7b!C46++SD7e!C46</f>
        <v>0</v>
      </c>
      <c r="D46" s="498">
        <f>SD7a!D46+SD7b!D46++SD7e!D46</f>
        <v>0</v>
      </c>
      <c r="E46" s="499">
        <f>SD7a!E46+SD7b!E46++SD7e!E46</f>
        <v>0</v>
      </c>
      <c r="F46" s="500">
        <f>SD7a!F46+SD7b!F46++SD7e!F46</f>
        <v>0</v>
      </c>
      <c r="G46" s="498">
        <f>SD7a!G46+SD7b!G46++SD7e!G46</f>
        <v>0</v>
      </c>
      <c r="H46" s="501">
        <f>SD7a!H46+SD7b!H46++SD7e!H46</f>
        <v>0</v>
      </c>
      <c r="I46" s="500">
        <f>SD7a!I46+SD7b!I46++SD7e!I46</f>
        <v>0</v>
      </c>
      <c r="J46" s="498">
        <f>SD7a!J46+SD7b!J46++SD7e!J46</f>
        <v>0</v>
      </c>
      <c r="K46" s="501">
        <f>SD7a!K46+SD7b!K46++SD7e!K46</f>
        <v>0</v>
      </c>
      <c r="L46" s="518"/>
    </row>
    <row r="47" spans="1:15" ht="13.15" customHeight="1" x14ac:dyDescent="0.25">
      <c r="A47" s="379" t="s">
        <v>979</v>
      </c>
      <c r="B47" s="378"/>
      <c r="C47" s="609">
        <f>SD7a!C47+SD7b!C47++SD7e!C47</f>
        <v>0</v>
      </c>
      <c r="D47" s="498">
        <f>SD7a!D47+SD7b!D47++SD7e!D47</f>
        <v>0</v>
      </c>
      <c r="E47" s="499">
        <f>SD7a!E47+SD7b!E47++SD7e!E47</f>
        <v>0</v>
      </c>
      <c r="F47" s="500">
        <f>SD7a!F47+SD7b!F47++SD7e!F47</f>
        <v>0</v>
      </c>
      <c r="G47" s="498">
        <f>SD7a!G47+SD7b!G47++SD7e!G47</f>
        <v>0</v>
      </c>
      <c r="H47" s="501">
        <f>SD7a!H47+SD7b!H47++SD7e!H47</f>
        <v>0</v>
      </c>
      <c r="I47" s="500">
        <f>SD7a!I47+SD7b!I47++SD7e!I47</f>
        <v>0</v>
      </c>
      <c r="J47" s="498">
        <f>SD7a!J47+SD7b!J47++SD7e!J47</f>
        <v>0</v>
      </c>
      <c r="K47" s="501">
        <f>SD7a!K47+SD7b!K47++SD7e!K47</f>
        <v>0</v>
      </c>
      <c r="L47" s="518"/>
    </row>
    <row r="48" spans="1:15" ht="13.15" customHeight="1" x14ac:dyDescent="0.25">
      <c r="A48" s="379" t="s">
        <v>980</v>
      </c>
      <c r="B48" s="378"/>
      <c r="C48" s="609">
        <f>SD7a!C48+SD7b!C48++SD7e!C48</f>
        <v>0</v>
      </c>
      <c r="D48" s="498">
        <f>SD7a!D48+SD7b!D48++SD7e!D48</f>
        <v>0</v>
      </c>
      <c r="E48" s="499">
        <f>SD7a!E48+SD7b!E48++SD7e!E48</f>
        <v>0</v>
      </c>
      <c r="F48" s="500">
        <f>SD7a!F48+SD7b!F48++SD7e!F48</f>
        <v>0</v>
      </c>
      <c r="G48" s="498">
        <f>SD7a!G48+SD7b!G48++SD7e!G48</f>
        <v>0</v>
      </c>
      <c r="H48" s="501">
        <f>SD7a!H48+SD7b!H48++SD7e!H48</f>
        <v>0</v>
      </c>
      <c r="I48" s="500">
        <f>SD7a!I48+SD7b!I48++SD7e!I48</f>
        <v>0</v>
      </c>
      <c r="J48" s="498">
        <f>SD7a!J48+SD7b!J48++SD7e!J48</f>
        <v>0</v>
      </c>
      <c r="K48" s="501">
        <f>SD7a!K48+SD7b!K48++SD7e!K48</f>
        <v>0</v>
      </c>
      <c r="L48" s="580"/>
    </row>
    <row r="49" spans="1:12" ht="13.15" customHeight="1" x14ac:dyDescent="0.25">
      <c r="A49" s="379" t="s">
        <v>981</v>
      </c>
      <c r="B49" s="378"/>
      <c r="C49" s="609">
        <f>SD7a!C49+SD7b!C49++SD7e!C49</f>
        <v>0</v>
      </c>
      <c r="D49" s="498">
        <f>SD7a!D49+SD7b!D49++SD7e!D49</f>
        <v>0</v>
      </c>
      <c r="E49" s="499">
        <f>SD7a!E49+SD7b!E49++SD7e!E49</f>
        <v>0</v>
      </c>
      <c r="F49" s="500">
        <f>SD7a!F49+SD7b!F49++SD7e!F49</f>
        <v>0</v>
      </c>
      <c r="G49" s="498">
        <f>SD7a!G49+SD7b!G49++SD7e!G49</f>
        <v>0</v>
      </c>
      <c r="H49" s="501">
        <f>SD7a!H49+SD7b!H49++SD7e!H49</f>
        <v>0</v>
      </c>
      <c r="I49" s="500">
        <f>SD7a!I49+SD7b!I49++SD7e!I49</f>
        <v>0</v>
      </c>
      <c r="J49" s="498">
        <f>SD7a!J49+SD7b!J49++SD7e!J49</f>
        <v>0</v>
      </c>
      <c r="K49" s="501">
        <f>SD7a!K49+SD7b!K49++SD7e!K49</f>
        <v>0</v>
      </c>
      <c r="L49" s="518"/>
    </row>
    <row r="50" spans="1:12" ht="13.15" customHeight="1" x14ac:dyDescent="0.25">
      <c r="A50" s="379" t="s">
        <v>982</v>
      </c>
      <c r="B50" s="378"/>
      <c r="C50" s="609">
        <f>SD7a!C50+SD7b!C50++SD7e!C50</f>
        <v>0</v>
      </c>
      <c r="D50" s="498">
        <f>SD7a!D50+SD7b!D50++SD7e!D50</f>
        <v>0</v>
      </c>
      <c r="E50" s="499">
        <f>SD7a!E50+SD7b!E50++SD7e!E50</f>
        <v>0</v>
      </c>
      <c r="F50" s="500">
        <f>SD7a!F50+SD7b!F50++SD7e!F50</f>
        <v>0</v>
      </c>
      <c r="G50" s="498">
        <f>SD7a!G50+SD7b!G50++SD7e!G50</f>
        <v>0</v>
      </c>
      <c r="H50" s="501">
        <f>SD7a!H50+SD7b!H50++SD7e!H50</f>
        <v>0</v>
      </c>
      <c r="I50" s="500">
        <f>SD7a!I50+SD7b!I50++SD7e!I50</f>
        <v>0</v>
      </c>
      <c r="J50" s="498">
        <f>SD7a!J50+SD7b!J50++SD7e!J50</f>
        <v>0</v>
      </c>
      <c r="K50" s="501">
        <f>SD7a!K50+SD7b!K50++SD7e!K50</f>
        <v>0</v>
      </c>
      <c r="L50" s="518"/>
    </row>
    <row r="51" spans="1:12" ht="13.15" customHeight="1" x14ac:dyDescent="0.25">
      <c r="A51" s="379" t="s">
        <v>947</v>
      </c>
      <c r="B51" s="378"/>
      <c r="C51" s="609">
        <f>SD7a!C51+SD7b!C51++SD7e!C51</f>
        <v>0</v>
      </c>
      <c r="D51" s="498">
        <f>SD7a!D51+SD7b!D51++SD7e!D51</f>
        <v>0</v>
      </c>
      <c r="E51" s="499">
        <f>SD7a!E51+SD7b!E51++SD7e!E51</f>
        <v>0</v>
      </c>
      <c r="F51" s="500">
        <f>SD7a!F51+SD7b!F51++SD7e!F51</f>
        <v>0</v>
      </c>
      <c r="G51" s="498">
        <f>SD7a!G51+SD7b!G51++SD7e!G51</f>
        <v>0</v>
      </c>
      <c r="H51" s="501">
        <f>SD7a!H51+SD7b!H51++SD7e!H51</f>
        <v>0</v>
      </c>
      <c r="I51" s="500">
        <f>SD7a!I51+SD7b!I51++SD7e!I51</f>
        <v>0</v>
      </c>
      <c r="J51" s="498">
        <f>SD7a!J51+SD7b!J51++SD7e!J51</f>
        <v>0</v>
      </c>
      <c r="K51" s="501">
        <f>SD7a!K51+SD7b!K51++SD7e!K51</f>
        <v>0</v>
      </c>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609">
        <f>SD7a!C53+SD7b!C53++SD7e!C53</f>
        <v>0</v>
      </c>
      <c r="D53" s="498">
        <f>SD7a!D53+SD7b!D53++SD7e!D53</f>
        <v>0</v>
      </c>
      <c r="E53" s="499">
        <f>SD7a!E53+SD7b!E53++SD7e!E53</f>
        <v>0</v>
      </c>
      <c r="F53" s="500">
        <f>SD7a!F53+SD7b!F53++SD7e!F53</f>
        <v>0</v>
      </c>
      <c r="G53" s="498">
        <f>SD7a!G53+SD7b!G53++SD7e!G53</f>
        <v>0</v>
      </c>
      <c r="H53" s="501">
        <f>SD7a!H53+SD7b!H53++SD7e!H53</f>
        <v>0</v>
      </c>
      <c r="I53" s="500">
        <f>SD7a!I53+SD7b!I53++SD7e!I53</f>
        <v>0</v>
      </c>
      <c r="J53" s="498">
        <f>SD7a!J53+SD7b!J53++SD7e!J53</f>
        <v>0</v>
      </c>
      <c r="K53" s="501">
        <f>SD7a!K53+SD7b!K53++SD7e!K53</f>
        <v>0</v>
      </c>
      <c r="L53" s="518"/>
    </row>
    <row r="54" spans="1:12" ht="13.15" customHeight="1" x14ac:dyDescent="0.25">
      <c r="A54" s="379" t="s">
        <v>985</v>
      </c>
      <c r="B54" s="378"/>
      <c r="C54" s="609">
        <f>SD7a!C54+SD7b!C54++SD7e!C54</f>
        <v>0</v>
      </c>
      <c r="D54" s="498">
        <f>SD7a!D54+SD7b!D54++SD7e!D54</f>
        <v>0</v>
      </c>
      <c r="E54" s="499">
        <f>SD7a!E54+SD7b!E54++SD7e!E54</f>
        <v>0</v>
      </c>
      <c r="F54" s="500">
        <f>SD7a!F54+SD7b!F54++SD7e!F54</f>
        <v>0</v>
      </c>
      <c r="G54" s="498">
        <f>SD7a!G54+SD7b!G54++SD7e!G54</f>
        <v>0</v>
      </c>
      <c r="H54" s="501">
        <f>SD7a!H54+SD7b!H54++SD7e!H54</f>
        <v>0</v>
      </c>
      <c r="I54" s="500">
        <f>SD7a!I54+SD7b!I54++SD7e!I54</f>
        <v>0</v>
      </c>
      <c r="J54" s="498">
        <f>SD7a!J54+SD7b!J54++SD7e!J54</f>
        <v>0</v>
      </c>
      <c r="K54" s="501">
        <f>SD7a!K54+SD7b!K54++SD7e!K54</f>
        <v>0</v>
      </c>
      <c r="L54" s="580"/>
    </row>
    <row r="55" spans="1:12" ht="13.15" customHeight="1" x14ac:dyDescent="0.25">
      <c r="A55" s="379" t="s">
        <v>986</v>
      </c>
      <c r="B55" s="378"/>
      <c r="C55" s="609">
        <f>SD7a!C55+SD7b!C55++SD7e!C55</f>
        <v>0</v>
      </c>
      <c r="D55" s="498">
        <f>SD7a!D55+SD7b!D55++SD7e!D55</f>
        <v>0</v>
      </c>
      <c r="E55" s="499">
        <f>SD7a!E55+SD7b!E55++SD7e!E55</f>
        <v>0</v>
      </c>
      <c r="F55" s="500">
        <f>SD7a!F55+SD7b!F55++SD7e!F55</f>
        <v>0</v>
      </c>
      <c r="G55" s="498">
        <f>SD7a!G55+SD7b!G55++SD7e!G55</f>
        <v>0</v>
      </c>
      <c r="H55" s="501">
        <f>SD7a!H55+SD7b!H55++SD7e!H55</f>
        <v>0</v>
      </c>
      <c r="I55" s="500">
        <f>SD7a!I55+SD7b!I55++SD7e!I55</f>
        <v>0</v>
      </c>
      <c r="J55" s="498">
        <f>SD7a!J55+SD7b!J55++SD7e!J55</f>
        <v>0</v>
      </c>
      <c r="K55" s="501">
        <f>SD7a!K55+SD7b!K55++SD7e!K55</f>
        <v>0</v>
      </c>
      <c r="L55" s="580"/>
    </row>
    <row r="56" spans="1:12" ht="13.15" customHeight="1" x14ac:dyDescent="0.25">
      <c r="A56" s="379" t="s">
        <v>949</v>
      </c>
      <c r="B56" s="378"/>
      <c r="C56" s="609">
        <f>SD7a!C56+SD7b!C56++SD7e!C56</f>
        <v>0</v>
      </c>
      <c r="D56" s="498">
        <f>SD7a!D56+SD7b!D56++SD7e!D56</f>
        <v>0</v>
      </c>
      <c r="E56" s="499">
        <f>SD7a!E56+SD7b!E56++SD7e!E56</f>
        <v>0</v>
      </c>
      <c r="F56" s="500">
        <f>SD7a!F56+SD7b!F56++SD7e!F56</f>
        <v>0</v>
      </c>
      <c r="G56" s="498">
        <f>SD7a!G56+SD7b!G56++SD7e!G56</f>
        <v>0</v>
      </c>
      <c r="H56" s="501">
        <f>SD7a!H56+SD7b!H56++SD7e!H56</f>
        <v>0</v>
      </c>
      <c r="I56" s="500">
        <f>SD7a!I56+SD7b!I56++SD7e!I56</f>
        <v>0</v>
      </c>
      <c r="J56" s="498">
        <f>SD7a!J56+SD7b!J56++SD7e!J56</f>
        <v>0</v>
      </c>
      <c r="K56" s="501">
        <f>SD7a!K56+SD7b!K56++SD7e!K56</f>
        <v>0</v>
      </c>
      <c r="L56" s="580"/>
    </row>
    <row r="57" spans="1:12" ht="13.15" customHeight="1" x14ac:dyDescent="0.25">
      <c r="A57" s="379" t="s">
        <v>950</v>
      </c>
      <c r="B57" s="378"/>
      <c r="C57" s="609">
        <f>SD7a!C57+SD7b!C57++SD7e!C57</f>
        <v>0</v>
      </c>
      <c r="D57" s="498">
        <f>SD7a!D57+SD7b!D57++SD7e!D57</f>
        <v>0</v>
      </c>
      <c r="E57" s="499">
        <f>SD7a!E57+SD7b!E57++SD7e!E57</f>
        <v>0</v>
      </c>
      <c r="F57" s="500">
        <f>SD7a!F57+SD7b!F57++SD7e!F57</f>
        <v>0</v>
      </c>
      <c r="G57" s="498">
        <f>SD7a!G57+SD7b!G57++SD7e!G57</f>
        <v>0</v>
      </c>
      <c r="H57" s="501">
        <f>SD7a!H57+SD7b!H57++SD7e!H57</f>
        <v>0</v>
      </c>
      <c r="I57" s="500">
        <f>SD7a!I57+SD7b!I57++SD7e!I57</f>
        <v>0</v>
      </c>
      <c r="J57" s="498">
        <f>SD7a!J57+SD7b!J57++SD7e!J57</f>
        <v>0</v>
      </c>
      <c r="K57" s="501">
        <f>SD7a!K57+SD7b!K57++SD7e!K57</f>
        <v>0</v>
      </c>
      <c r="L57" s="580"/>
    </row>
    <row r="58" spans="1:12" ht="13.15" customHeight="1" x14ac:dyDescent="0.25">
      <c r="A58" s="379" t="s">
        <v>951</v>
      </c>
      <c r="B58" s="378"/>
      <c r="C58" s="609">
        <f>SD7a!C58+SD7b!C58++SD7e!C58</f>
        <v>0</v>
      </c>
      <c r="D58" s="498">
        <f>SD7a!D58+SD7b!D58++SD7e!D58</f>
        <v>0</v>
      </c>
      <c r="E58" s="499">
        <f>SD7a!E58+SD7b!E58++SD7e!E58</f>
        <v>0</v>
      </c>
      <c r="F58" s="500">
        <f>SD7a!F58+SD7b!F58++SD7e!F58</f>
        <v>0</v>
      </c>
      <c r="G58" s="498">
        <f>SD7a!G58+SD7b!G58++SD7e!G58</f>
        <v>0</v>
      </c>
      <c r="H58" s="501">
        <f>SD7a!H58+SD7b!H58++SD7e!H58</f>
        <v>0</v>
      </c>
      <c r="I58" s="500">
        <f>SD7a!I58+SD7b!I58++SD7e!I58</f>
        <v>0</v>
      </c>
      <c r="J58" s="498">
        <f>SD7a!J58+SD7b!J58++SD7e!J58</f>
        <v>0</v>
      </c>
      <c r="K58" s="501">
        <f>SD7a!K58+SD7b!K58++SD7e!K58</f>
        <v>0</v>
      </c>
      <c r="L58" s="575"/>
    </row>
    <row r="59" spans="1:12" ht="13.15" customHeight="1" x14ac:dyDescent="0.25">
      <c r="A59" s="379" t="s">
        <v>957</v>
      </c>
      <c r="B59" s="378"/>
      <c r="C59" s="609">
        <f>SD7a!C59+SD7b!C59++SD7e!C59</f>
        <v>0</v>
      </c>
      <c r="D59" s="498">
        <f>SD7a!D59+SD7b!D59++SD7e!D59</f>
        <v>0</v>
      </c>
      <c r="E59" s="499">
        <f>SD7a!E59+SD7b!E59++SD7e!E59</f>
        <v>0</v>
      </c>
      <c r="F59" s="500">
        <f>SD7a!F59+SD7b!F59++SD7e!F59</f>
        <v>0</v>
      </c>
      <c r="G59" s="498">
        <f>SD7a!G59+SD7b!G59++SD7e!G59</f>
        <v>0</v>
      </c>
      <c r="H59" s="501">
        <f>SD7a!H59+SD7b!H59++SD7e!H59</f>
        <v>0</v>
      </c>
      <c r="I59" s="500">
        <f>SD7a!I59+SD7b!I59++SD7e!I59</f>
        <v>0</v>
      </c>
      <c r="J59" s="498">
        <f>SD7a!J59+SD7b!J59++SD7e!J59</f>
        <v>0</v>
      </c>
      <c r="K59" s="501">
        <f>SD7a!K59+SD7b!K59++SD7e!K59</f>
        <v>0</v>
      </c>
      <c r="L59" s="580"/>
    </row>
    <row r="60" spans="1:12" ht="13.15" customHeight="1" x14ac:dyDescent="0.25">
      <c r="A60" s="379" t="s">
        <v>960</v>
      </c>
      <c r="B60" s="378"/>
      <c r="C60" s="609">
        <f>SD7a!C60+SD7b!C60++SD7e!C60</f>
        <v>0</v>
      </c>
      <c r="D60" s="498">
        <f>SD7a!D60+SD7b!D60++SD7e!D60</f>
        <v>0</v>
      </c>
      <c r="E60" s="499">
        <f>SD7a!E60+SD7b!E60++SD7e!E60</f>
        <v>0</v>
      </c>
      <c r="F60" s="500">
        <f>SD7a!F60+SD7b!F60++SD7e!F60</f>
        <v>0</v>
      </c>
      <c r="G60" s="498">
        <f>SD7a!G60+SD7b!G60++SD7e!G60</f>
        <v>0</v>
      </c>
      <c r="H60" s="501">
        <f>SD7a!H60+SD7b!H60++SD7e!H60</f>
        <v>0</v>
      </c>
      <c r="I60" s="500">
        <f>SD7a!I60+SD7b!I60++SD7e!I60</f>
        <v>0</v>
      </c>
      <c r="J60" s="498">
        <f>SD7a!J60+SD7b!J60++SD7e!J60</f>
        <v>0</v>
      </c>
      <c r="K60" s="501">
        <f>SD7a!K60+SD7b!K60++SD7e!K60</f>
        <v>0</v>
      </c>
      <c r="L60" s="580"/>
    </row>
    <row r="61" spans="1:12" ht="13.15" customHeight="1" x14ac:dyDescent="0.25">
      <c r="A61" s="379" t="s">
        <v>947</v>
      </c>
      <c r="B61" s="378"/>
      <c r="C61" s="609">
        <f>SD7a!C61+SD7b!C61++SD7e!C61</f>
        <v>0</v>
      </c>
      <c r="D61" s="498">
        <f>SD7a!D61+SD7b!D61++SD7e!D61</f>
        <v>0</v>
      </c>
      <c r="E61" s="499">
        <f>SD7a!E61+SD7b!E61++SD7e!E61</f>
        <v>0</v>
      </c>
      <c r="F61" s="500">
        <f>SD7a!F61+SD7b!F61++SD7e!F61</f>
        <v>0</v>
      </c>
      <c r="G61" s="498">
        <f>SD7a!G61+SD7b!G61++SD7e!G61</f>
        <v>0</v>
      </c>
      <c r="H61" s="501">
        <f>SD7a!H61+SD7b!H61++SD7e!H61</f>
        <v>0</v>
      </c>
      <c r="I61" s="500">
        <f>SD7a!I61+SD7b!I61++SD7e!I61</f>
        <v>0</v>
      </c>
      <c r="J61" s="498">
        <f>SD7a!J61+SD7b!J61++SD7e!J61</f>
        <v>0</v>
      </c>
      <c r="K61" s="501">
        <f>SD7a!K61+SD7b!K61++SD7e!K61</f>
        <v>0</v>
      </c>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609">
        <f>SD7a!C63+SD7b!C63++SD7e!C63</f>
        <v>0</v>
      </c>
      <c r="D63" s="498">
        <f>SD7a!D63+SD7b!D63++SD7e!D63</f>
        <v>0</v>
      </c>
      <c r="E63" s="499">
        <f>SD7a!E63+SD7b!E63++SD7e!E63</f>
        <v>0</v>
      </c>
      <c r="F63" s="500">
        <f>SD7a!F63+SD7b!F63++SD7e!F63</f>
        <v>0</v>
      </c>
      <c r="G63" s="498">
        <f>SD7a!G63+SD7b!G63++SD7e!G63</f>
        <v>0</v>
      </c>
      <c r="H63" s="501">
        <f>SD7a!H63+SD7b!H63++SD7e!H63</f>
        <v>0</v>
      </c>
      <c r="I63" s="500">
        <f>SD7a!I63+SD7b!I63++SD7e!I63</f>
        <v>0</v>
      </c>
      <c r="J63" s="498">
        <f>SD7a!J63+SD7b!J63++SD7e!J63</f>
        <v>0</v>
      </c>
      <c r="K63" s="501">
        <f>SD7a!K63+SD7b!K63++SD7e!K63</f>
        <v>0</v>
      </c>
      <c r="L63" s="580"/>
    </row>
    <row r="64" spans="1:12" ht="13.15" customHeight="1" x14ac:dyDescent="0.25">
      <c r="A64" s="379" t="s">
        <v>989</v>
      </c>
      <c r="B64" s="378"/>
      <c r="C64" s="609">
        <f>SD7a!C64+SD7b!C64++SD7e!C64</f>
        <v>0</v>
      </c>
      <c r="D64" s="498">
        <f>SD7a!D64+SD7b!D64++SD7e!D64</f>
        <v>0</v>
      </c>
      <c r="E64" s="499">
        <f>SD7a!E64+SD7b!E64++SD7e!E64</f>
        <v>0</v>
      </c>
      <c r="F64" s="500">
        <f>SD7a!F64+SD7b!F64++SD7e!F64</f>
        <v>0</v>
      </c>
      <c r="G64" s="498">
        <f>SD7a!G64+SD7b!G64++SD7e!G64</f>
        <v>0</v>
      </c>
      <c r="H64" s="501">
        <f>SD7a!H64+SD7b!H64++SD7e!H64</f>
        <v>0</v>
      </c>
      <c r="I64" s="500">
        <f>SD7a!I64+SD7b!I64++SD7e!I64</f>
        <v>0</v>
      </c>
      <c r="J64" s="498">
        <f>SD7a!J64+SD7b!J64++SD7e!J64</f>
        <v>0</v>
      </c>
      <c r="K64" s="501">
        <f>SD7a!K64+SD7b!K64++SD7e!K64</f>
        <v>0</v>
      </c>
      <c r="L64" s="518"/>
    </row>
    <row r="65" spans="1:12" ht="13.15" customHeight="1" x14ac:dyDescent="0.25">
      <c r="A65" s="379" t="s">
        <v>990</v>
      </c>
      <c r="B65" s="378"/>
      <c r="C65" s="609">
        <f>SD7a!C65+SD7b!C65++SD7e!C65</f>
        <v>0</v>
      </c>
      <c r="D65" s="498">
        <f>SD7a!D65+SD7b!D65++SD7e!D65</f>
        <v>0</v>
      </c>
      <c r="E65" s="499">
        <f>SD7a!E65+SD7b!E65++SD7e!E65</f>
        <v>0</v>
      </c>
      <c r="F65" s="500">
        <f>SD7a!F65+SD7b!F65++SD7e!F65</f>
        <v>0</v>
      </c>
      <c r="G65" s="498">
        <f>SD7a!G65+SD7b!G65++SD7e!G65</f>
        <v>0</v>
      </c>
      <c r="H65" s="501">
        <f>SD7a!H65+SD7b!H65++SD7e!H65</f>
        <v>0</v>
      </c>
      <c r="I65" s="500">
        <f>SD7a!I65+SD7b!I65++SD7e!I65</f>
        <v>0</v>
      </c>
      <c r="J65" s="498">
        <f>SD7a!J65+SD7b!J65++SD7e!J65</f>
        <v>0</v>
      </c>
      <c r="K65" s="501">
        <f>SD7a!K65+SD7b!K65++SD7e!K65</f>
        <v>0</v>
      </c>
      <c r="L65" s="518"/>
    </row>
    <row r="66" spans="1:12" ht="13.15" customHeight="1" x14ac:dyDescent="0.25">
      <c r="A66" s="379" t="s">
        <v>991</v>
      </c>
      <c r="B66" s="378"/>
      <c r="C66" s="609">
        <f>SD7a!C66+SD7b!C66++SD7e!C66</f>
        <v>0</v>
      </c>
      <c r="D66" s="498">
        <f>SD7a!D66+SD7b!D66++SD7e!D66</f>
        <v>0</v>
      </c>
      <c r="E66" s="499">
        <f>SD7a!E66+SD7b!E66++SD7e!E66</f>
        <v>0</v>
      </c>
      <c r="F66" s="500">
        <f>SD7a!F66+SD7b!F66++SD7e!F66</f>
        <v>0</v>
      </c>
      <c r="G66" s="498">
        <f>SD7a!G66+SD7b!G66++SD7e!G66</f>
        <v>0</v>
      </c>
      <c r="H66" s="501">
        <f>SD7a!H66+SD7b!H66++SD7e!H66</f>
        <v>0</v>
      </c>
      <c r="I66" s="500">
        <f>SD7a!I66+SD7b!I66++SD7e!I66</f>
        <v>0</v>
      </c>
      <c r="J66" s="498">
        <f>SD7a!J66+SD7b!J66++SD7e!J66</f>
        <v>0</v>
      </c>
      <c r="K66" s="501">
        <f>SD7a!K66+SD7b!K66++SD7e!K66</f>
        <v>0</v>
      </c>
      <c r="L66" s="518"/>
    </row>
    <row r="67" spans="1:12" ht="13.15" customHeight="1" x14ac:dyDescent="0.25">
      <c r="A67" s="379" t="s">
        <v>947</v>
      </c>
      <c r="B67" s="378"/>
      <c r="C67" s="609">
        <f>SD7a!C67+SD7b!C67++SD7e!C67</f>
        <v>0</v>
      </c>
      <c r="D67" s="498">
        <f>SD7a!D67+SD7b!D67++SD7e!D67</f>
        <v>0</v>
      </c>
      <c r="E67" s="499">
        <f>SD7a!E67+SD7b!E67++SD7e!E67</f>
        <v>0</v>
      </c>
      <c r="F67" s="500">
        <f>SD7a!F67+SD7b!F67++SD7e!F67</f>
        <v>0</v>
      </c>
      <c r="G67" s="498">
        <f>SD7a!G67+SD7b!G67++SD7e!G67</f>
        <v>0</v>
      </c>
      <c r="H67" s="501">
        <f>SD7a!H67+SD7b!H67++SD7e!H67</f>
        <v>0</v>
      </c>
      <c r="I67" s="500">
        <f>SD7a!I67+SD7b!I67++SD7e!I67</f>
        <v>0</v>
      </c>
      <c r="J67" s="498">
        <f>SD7a!J67+SD7b!J67++SD7e!J67</f>
        <v>0</v>
      </c>
      <c r="K67" s="501">
        <f>SD7a!K67+SD7b!K67++SD7e!K67</f>
        <v>0</v>
      </c>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609">
        <f>SD7a!C69+SD7b!C69++SD7e!C69</f>
        <v>0</v>
      </c>
      <c r="D69" s="498">
        <f>SD7a!D69+SD7b!D69++SD7e!D69</f>
        <v>0</v>
      </c>
      <c r="E69" s="499">
        <f>SD7a!E69+SD7b!E69++SD7e!E69</f>
        <v>0</v>
      </c>
      <c r="F69" s="500">
        <f>SD7a!F69+SD7b!F69++SD7e!F69</f>
        <v>0</v>
      </c>
      <c r="G69" s="498">
        <f>SD7a!G69+SD7b!G69++SD7e!G69</f>
        <v>0</v>
      </c>
      <c r="H69" s="501">
        <f>SD7a!H69+SD7b!H69++SD7e!H69</f>
        <v>0</v>
      </c>
      <c r="I69" s="500">
        <f>SD7a!I69+SD7b!I69++SD7e!I69</f>
        <v>0</v>
      </c>
      <c r="J69" s="498">
        <f>SD7a!J69+SD7b!J69++SD7e!J69</f>
        <v>0</v>
      </c>
      <c r="K69" s="501">
        <f>SD7a!K69+SD7b!K69++SD7e!K69</f>
        <v>0</v>
      </c>
      <c r="L69" s="518"/>
    </row>
    <row r="70" spans="1:12" ht="13.15" customHeight="1" x14ac:dyDescent="0.25">
      <c r="A70" s="379" t="s">
        <v>994</v>
      </c>
      <c r="B70" s="378"/>
      <c r="C70" s="609">
        <f>SD7a!C70+SD7b!C70++SD7e!C70</f>
        <v>0</v>
      </c>
      <c r="D70" s="498">
        <f>SD7a!D70+SD7b!D70++SD7e!D70</f>
        <v>0</v>
      </c>
      <c r="E70" s="499">
        <f>SD7a!E70+SD7b!E70++SD7e!E70</f>
        <v>0</v>
      </c>
      <c r="F70" s="500">
        <f>SD7a!F70+SD7b!F70++SD7e!F70</f>
        <v>0</v>
      </c>
      <c r="G70" s="498">
        <f>SD7a!G70+SD7b!G70++SD7e!G70</f>
        <v>0</v>
      </c>
      <c r="H70" s="501">
        <f>SD7a!H70+SD7b!H70++SD7e!H70</f>
        <v>0</v>
      </c>
      <c r="I70" s="500">
        <f>SD7a!I70+SD7b!I70++SD7e!I70</f>
        <v>0</v>
      </c>
      <c r="J70" s="498">
        <f>SD7a!J70+SD7b!J70++SD7e!J70</f>
        <v>0</v>
      </c>
      <c r="K70" s="501">
        <f>SD7a!K70+SD7b!K70++SD7e!K70</f>
        <v>0</v>
      </c>
      <c r="L70" s="518"/>
    </row>
    <row r="71" spans="1:12" ht="13.15" customHeight="1" x14ac:dyDescent="0.25">
      <c r="A71" s="379" t="s">
        <v>995</v>
      </c>
      <c r="B71" s="378"/>
      <c r="C71" s="609">
        <f>SD7a!C71+SD7b!C71++SD7e!C71</f>
        <v>0</v>
      </c>
      <c r="D71" s="498">
        <f>SD7a!D71+SD7b!D71++SD7e!D71</f>
        <v>0</v>
      </c>
      <c r="E71" s="499">
        <f>SD7a!E71+SD7b!E71++SD7e!E71</f>
        <v>0</v>
      </c>
      <c r="F71" s="500">
        <f>SD7a!F71+SD7b!F71++SD7e!F71</f>
        <v>0</v>
      </c>
      <c r="G71" s="498">
        <f>SD7a!G71+SD7b!G71++SD7e!G71</f>
        <v>0</v>
      </c>
      <c r="H71" s="501">
        <f>SD7a!H71+SD7b!H71++SD7e!H71</f>
        <v>0</v>
      </c>
      <c r="I71" s="500">
        <f>SD7a!I71+SD7b!I71++SD7e!I71</f>
        <v>0</v>
      </c>
      <c r="J71" s="498">
        <f>SD7a!J71+SD7b!J71++SD7e!J71</f>
        <v>0</v>
      </c>
      <c r="K71" s="501">
        <f>SD7a!K71+SD7b!K71++SD7e!K71</f>
        <v>0</v>
      </c>
      <c r="L71" s="518"/>
    </row>
    <row r="72" spans="1:12" ht="13.15" customHeight="1" x14ac:dyDescent="0.25">
      <c r="A72" s="379" t="s">
        <v>947</v>
      </c>
      <c r="B72" s="378"/>
      <c r="C72" s="609">
        <f>SD7a!C72+SD7b!C72++SD7e!C72</f>
        <v>0</v>
      </c>
      <c r="D72" s="498">
        <f>SD7a!D72+SD7b!D72++SD7e!D72</f>
        <v>0</v>
      </c>
      <c r="E72" s="499">
        <f>SD7a!E72+SD7b!E72++SD7e!E72</f>
        <v>0</v>
      </c>
      <c r="F72" s="500">
        <f>SD7a!F72+SD7b!F72++SD7e!F72</f>
        <v>0</v>
      </c>
      <c r="G72" s="498">
        <f>SD7a!G72+SD7b!G72++SD7e!G72</f>
        <v>0</v>
      </c>
      <c r="H72" s="501">
        <f>SD7a!H72+SD7b!H72++SD7e!H72</f>
        <v>0</v>
      </c>
      <c r="I72" s="500">
        <f>SD7a!I72+SD7b!I72++SD7e!I72</f>
        <v>0</v>
      </c>
      <c r="J72" s="498">
        <f>SD7a!J72+SD7b!J72++SD7e!J72</f>
        <v>0</v>
      </c>
      <c r="K72" s="501">
        <f>SD7a!K72+SD7b!K72++SD7e!K72</f>
        <v>0</v>
      </c>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609">
        <f>SD7a!C76+SD7b!C76++SD7e!C76</f>
        <v>0</v>
      </c>
      <c r="D76" s="498">
        <f>SD7a!D76+SD7b!D76++SD7e!D76</f>
        <v>0</v>
      </c>
      <c r="E76" s="499">
        <f>SD7a!E76+SD7b!E76++SD7e!E76</f>
        <v>0</v>
      </c>
      <c r="F76" s="500">
        <f>SD7a!F76+SD7b!F76++SD7e!F76</f>
        <v>0</v>
      </c>
      <c r="G76" s="498">
        <f>SD7a!G76+SD7b!G76++SD7e!G76</f>
        <v>0</v>
      </c>
      <c r="H76" s="501">
        <f>SD7a!H76+SD7b!H76++SD7e!H76</f>
        <v>0</v>
      </c>
      <c r="I76" s="500">
        <f>SD7a!I76+SD7b!I76++SD7e!I76</f>
        <v>0</v>
      </c>
      <c r="J76" s="498">
        <f>SD7a!J76+SD7b!J76++SD7e!J76</f>
        <v>0</v>
      </c>
      <c r="K76" s="501">
        <f>SD7a!K76+SD7b!K76++SD7e!K76</f>
        <v>0</v>
      </c>
      <c r="L76" s="518"/>
    </row>
    <row r="77" spans="1:12" ht="13.15" customHeight="1" x14ac:dyDescent="0.25">
      <c r="A77" s="379" t="s">
        <v>999</v>
      </c>
      <c r="B77" s="378"/>
      <c r="C77" s="609">
        <f>SD7a!C77+SD7b!C77++SD7e!C77</f>
        <v>0</v>
      </c>
      <c r="D77" s="498">
        <f>SD7a!D77+SD7b!D77++SD7e!D77</f>
        <v>0</v>
      </c>
      <c r="E77" s="499">
        <f>SD7a!E77+SD7b!E77++SD7e!E77</f>
        <v>0</v>
      </c>
      <c r="F77" s="500">
        <f>SD7a!F77+SD7b!F77++SD7e!F77</f>
        <v>0</v>
      </c>
      <c r="G77" s="498">
        <f>SD7a!G77+SD7b!G77++SD7e!G77</f>
        <v>0</v>
      </c>
      <c r="H77" s="501">
        <f>SD7a!H77+SD7b!H77++SD7e!H77</f>
        <v>0</v>
      </c>
      <c r="I77" s="500">
        <f>SD7a!I77+SD7b!I77++SD7e!I77</f>
        <v>0</v>
      </c>
      <c r="J77" s="498">
        <f>SD7a!J77+SD7b!J77++SD7e!J77</f>
        <v>0</v>
      </c>
      <c r="K77" s="501">
        <f>SD7a!K77+SD7b!K77++SD7e!K77</f>
        <v>0</v>
      </c>
      <c r="L77" s="518"/>
    </row>
    <row r="78" spans="1:12" ht="13.15" customHeight="1" x14ac:dyDescent="0.25">
      <c r="A78" s="379" t="s">
        <v>1000</v>
      </c>
      <c r="B78" s="378"/>
      <c r="C78" s="609">
        <f>SD7a!C78+SD7b!C78++SD7e!C78</f>
        <v>0</v>
      </c>
      <c r="D78" s="498">
        <f>SD7a!D78+SD7b!D78++SD7e!D78</f>
        <v>0</v>
      </c>
      <c r="E78" s="499">
        <f>SD7a!E78+SD7b!E78++SD7e!E78</f>
        <v>0</v>
      </c>
      <c r="F78" s="500">
        <f>SD7a!F78+SD7b!F78++SD7e!F78</f>
        <v>0</v>
      </c>
      <c r="G78" s="498">
        <f>SD7a!G78+SD7b!G78++SD7e!G78</f>
        <v>0</v>
      </c>
      <c r="H78" s="501">
        <f>SD7a!H78+SD7b!H78++SD7e!H78</f>
        <v>0</v>
      </c>
      <c r="I78" s="500">
        <f>SD7a!I78+SD7b!I78++SD7e!I78</f>
        <v>0</v>
      </c>
      <c r="J78" s="498">
        <f>SD7a!J78+SD7b!J78++SD7e!J78</f>
        <v>0</v>
      </c>
      <c r="K78" s="501">
        <f>SD7a!K78+SD7b!K78++SD7e!K78</f>
        <v>0</v>
      </c>
      <c r="L78" s="518"/>
    </row>
    <row r="79" spans="1:12" ht="13.15" customHeight="1" x14ac:dyDescent="0.25">
      <c r="A79" s="379" t="s">
        <v>1001</v>
      </c>
      <c r="B79" s="378"/>
      <c r="C79" s="609">
        <f>SD7a!C79+SD7b!C79++SD7e!C79</f>
        <v>0</v>
      </c>
      <c r="D79" s="498">
        <f>SD7a!D79+SD7b!D79++SD7e!D79</f>
        <v>0</v>
      </c>
      <c r="E79" s="499">
        <f>SD7a!E79+SD7b!E79++SD7e!E79</f>
        <v>0</v>
      </c>
      <c r="F79" s="500">
        <f>SD7a!F79+SD7b!F79++SD7e!F79</f>
        <v>0</v>
      </c>
      <c r="G79" s="498">
        <f>SD7a!G79+SD7b!G79++SD7e!G79</f>
        <v>0</v>
      </c>
      <c r="H79" s="501">
        <f>SD7a!H79+SD7b!H79++SD7e!H79</f>
        <v>0</v>
      </c>
      <c r="I79" s="500">
        <f>SD7a!I79+SD7b!I79++SD7e!I79</f>
        <v>0</v>
      </c>
      <c r="J79" s="498">
        <f>SD7a!J79+SD7b!J79++SD7e!J79</f>
        <v>0</v>
      </c>
      <c r="K79" s="501">
        <f>SD7a!K79+SD7b!K79++SD7e!K79</f>
        <v>0</v>
      </c>
      <c r="L79" s="518"/>
    </row>
    <row r="80" spans="1:12" ht="13.15" customHeight="1" x14ac:dyDescent="0.25">
      <c r="A80" s="379" t="s">
        <v>1002</v>
      </c>
      <c r="B80" s="378"/>
      <c r="C80" s="609">
        <f>SD7a!C80+SD7b!C80++SD7e!C80</f>
        <v>0</v>
      </c>
      <c r="D80" s="498">
        <f>SD7a!D80+SD7b!D80++SD7e!D80</f>
        <v>0</v>
      </c>
      <c r="E80" s="499">
        <f>SD7a!E80+SD7b!E80++SD7e!E80</f>
        <v>0</v>
      </c>
      <c r="F80" s="500">
        <f>SD7a!F80+SD7b!F80++SD7e!F80</f>
        <v>0</v>
      </c>
      <c r="G80" s="498">
        <f>SD7a!G80+SD7b!G80++SD7e!G80</f>
        <v>0</v>
      </c>
      <c r="H80" s="501">
        <f>SD7a!H80+SD7b!H80++SD7e!H80</f>
        <v>0</v>
      </c>
      <c r="I80" s="500">
        <f>SD7a!I80+SD7b!I80++SD7e!I80</f>
        <v>0</v>
      </c>
      <c r="J80" s="498">
        <f>SD7a!J80+SD7b!J80++SD7e!J80</f>
        <v>0</v>
      </c>
      <c r="K80" s="501">
        <f>SD7a!K80+SD7b!K80++SD7e!K80</f>
        <v>0</v>
      </c>
      <c r="L80" s="518"/>
    </row>
    <row r="81" spans="1:12" ht="13.15" customHeight="1" x14ac:dyDescent="0.25">
      <c r="A81" s="379" t="s">
        <v>1003</v>
      </c>
      <c r="B81" s="378"/>
      <c r="C81" s="609">
        <f>SD7a!C81+SD7b!C81++SD7e!C81</f>
        <v>0</v>
      </c>
      <c r="D81" s="498">
        <f>SD7a!D81+SD7b!D81++SD7e!D81</f>
        <v>0</v>
      </c>
      <c r="E81" s="499">
        <f>SD7a!E81+SD7b!E81++SD7e!E81</f>
        <v>0</v>
      </c>
      <c r="F81" s="500">
        <f>SD7a!F81+SD7b!F81++SD7e!F81</f>
        <v>0</v>
      </c>
      <c r="G81" s="498">
        <f>SD7a!G81+SD7b!G81++SD7e!G81</f>
        <v>0</v>
      </c>
      <c r="H81" s="501">
        <f>SD7a!H81+SD7b!H81++SD7e!H81</f>
        <v>0</v>
      </c>
      <c r="I81" s="500">
        <f>SD7a!I81+SD7b!I81++SD7e!I81</f>
        <v>0</v>
      </c>
      <c r="J81" s="498">
        <f>SD7a!J81+SD7b!J81++SD7e!J81</f>
        <v>0</v>
      </c>
      <c r="K81" s="501">
        <f>SD7a!K81+SD7b!K81++SD7e!K81</f>
        <v>0</v>
      </c>
      <c r="L81" s="518"/>
    </row>
    <row r="82" spans="1:12" ht="13.15" customHeight="1" x14ac:dyDescent="0.25">
      <c r="A82" s="379" t="s">
        <v>1004</v>
      </c>
      <c r="B82" s="378"/>
      <c r="C82" s="609">
        <f>SD7a!C82+SD7b!C82++SD7e!C82</f>
        <v>0</v>
      </c>
      <c r="D82" s="498">
        <f>SD7a!D82+SD7b!D82++SD7e!D82</f>
        <v>0</v>
      </c>
      <c r="E82" s="499">
        <f>SD7a!E82+SD7b!E82++SD7e!E82</f>
        <v>0</v>
      </c>
      <c r="F82" s="500">
        <f>SD7a!F82+SD7b!F82++SD7e!F82</f>
        <v>0</v>
      </c>
      <c r="G82" s="498">
        <f>SD7a!G82+SD7b!G82++SD7e!G82</f>
        <v>0</v>
      </c>
      <c r="H82" s="501">
        <f>SD7a!H82+SD7b!H82++SD7e!H82</f>
        <v>0</v>
      </c>
      <c r="I82" s="500">
        <f>SD7a!I82+SD7b!I82++SD7e!I82</f>
        <v>0</v>
      </c>
      <c r="J82" s="498">
        <f>SD7a!J82+SD7b!J82++SD7e!J82</f>
        <v>0</v>
      </c>
      <c r="K82" s="501">
        <f>SD7a!K82+SD7b!K82++SD7e!K82</f>
        <v>0</v>
      </c>
      <c r="L82" s="518"/>
    </row>
    <row r="83" spans="1:12" ht="13.15" customHeight="1" x14ac:dyDescent="0.25">
      <c r="A83" s="379" t="s">
        <v>1005</v>
      </c>
      <c r="B83" s="378"/>
      <c r="C83" s="609">
        <f>SD7a!C83+SD7b!C83++SD7e!C83</f>
        <v>0</v>
      </c>
      <c r="D83" s="498">
        <f>SD7a!D83+SD7b!D83++SD7e!D83</f>
        <v>0</v>
      </c>
      <c r="E83" s="499">
        <f>SD7a!E83+SD7b!E83++SD7e!E83</f>
        <v>0</v>
      </c>
      <c r="F83" s="500">
        <f>SD7a!F83+SD7b!F83++SD7e!F83</f>
        <v>0</v>
      </c>
      <c r="G83" s="498">
        <f>SD7a!G83+SD7b!G83++SD7e!G83</f>
        <v>0</v>
      </c>
      <c r="H83" s="501">
        <f>SD7a!H83+SD7b!H83++SD7e!H83</f>
        <v>0</v>
      </c>
      <c r="I83" s="500">
        <f>SD7a!I83+SD7b!I83++SD7e!I83</f>
        <v>0</v>
      </c>
      <c r="J83" s="498">
        <f>SD7a!J83+SD7b!J83++SD7e!J83</f>
        <v>0</v>
      </c>
      <c r="K83" s="501">
        <f>SD7a!K83+SD7b!K83++SD7e!K83</f>
        <v>0</v>
      </c>
      <c r="L83" s="518"/>
    </row>
    <row r="84" spans="1:12" s="452" customFormat="1" ht="13.15" customHeight="1" x14ac:dyDescent="0.25">
      <c r="A84" s="379" t="s">
        <v>1006</v>
      </c>
      <c r="B84" s="378"/>
      <c r="C84" s="609">
        <f>SD7a!C84+SD7b!C84++SD7e!C84</f>
        <v>0</v>
      </c>
      <c r="D84" s="498">
        <f>SD7a!D84+SD7b!D84++SD7e!D84</f>
        <v>0</v>
      </c>
      <c r="E84" s="499">
        <f>SD7a!E84+SD7b!E84++SD7e!E84</f>
        <v>0</v>
      </c>
      <c r="F84" s="500">
        <f>SD7a!F84+SD7b!F84++SD7e!F84</f>
        <v>0</v>
      </c>
      <c r="G84" s="498">
        <f>SD7a!G84+SD7b!G84++SD7e!G84</f>
        <v>0</v>
      </c>
      <c r="H84" s="501">
        <f>SD7a!H84+SD7b!H84++SD7e!H84</f>
        <v>0</v>
      </c>
      <c r="I84" s="500">
        <f>SD7a!I84+SD7b!I84++SD7e!I84</f>
        <v>0</v>
      </c>
      <c r="J84" s="498">
        <f>SD7a!J84+SD7b!J84++SD7e!J84</f>
        <v>0</v>
      </c>
      <c r="K84" s="501">
        <f>SD7a!K84+SD7b!K84++SD7e!K84</f>
        <v>0</v>
      </c>
      <c r="L84" s="585"/>
    </row>
    <row r="85" spans="1:12" s="452" customFormat="1" ht="13.15" customHeight="1" x14ac:dyDescent="0.25">
      <c r="A85" s="379" t="s">
        <v>104</v>
      </c>
      <c r="B85" s="378"/>
      <c r="C85" s="609">
        <f>SD7a!C85+SD7b!C85++SD7e!C85</f>
        <v>0</v>
      </c>
      <c r="D85" s="498">
        <f>SD7a!D85+SD7b!D85++SD7e!D85</f>
        <v>0</v>
      </c>
      <c r="E85" s="499">
        <f>SD7a!E85+SD7b!E85++SD7e!E85</f>
        <v>0</v>
      </c>
      <c r="F85" s="500">
        <f>SD7a!F85+SD7b!F85++SD7e!F85</f>
        <v>0</v>
      </c>
      <c r="G85" s="498">
        <f>SD7a!G85+SD7b!G85++SD7e!G85</f>
        <v>0</v>
      </c>
      <c r="H85" s="501">
        <f>SD7a!H85+SD7b!H85++SD7e!H85</f>
        <v>0</v>
      </c>
      <c r="I85" s="500">
        <f>SD7a!I85+SD7b!I85++SD7e!I85</f>
        <v>0</v>
      </c>
      <c r="J85" s="498">
        <f>SD7a!J85+SD7b!J85++SD7e!J85</f>
        <v>0</v>
      </c>
      <c r="K85" s="501">
        <f>SD7a!K85+SD7b!K85++SD7e!K85</f>
        <v>0</v>
      </c>
    </row>
    <row r="86" spans="1:12" s="452" customFormat="1" ht="13.15" customHeight="1" x14ac:dyDescent="0.25">
      <c r="A86" s="379" t="s">
        <v>1007</v>
      </c>
      <c r="B86" s="378"/>
      <c r="C86" s="609">
        <f>SD7a!C86+SD7b!C86++SD7e!C86</f>
        <v>0</v>
      </c>
      <c r="D86" s="498">
        <f>SD7a!D86+SD7b!D86++SD7e!D86</f>
        <v>0</v>
      </c>
      <c r="E86" s="499">
        <f>SD7a!E86+SD7b!E86++SD7e!E86</f>
        <v>0</v>
      </c>
      <c r="F86" s="500">
        <f>SD7a!F86+SD7b!F86++SD7e!F86</f>
        <v>0</v>
      </c>
      <c r="G86" s="498">
        <f>SD7a!G86+SD7b!G86++SD7e!G86</f>
        <v>0</v>
      </c>
      <c r="H86" s="501">
        <f>SD7a!H86+SD7b!H86++SD7e!H86</f>
        <v>0</v>
      </c>
      <c r="I86" s="500">
        <f>SD7a!I86+SD7b!I86++SD7e!I86</f>
        <v>0</v>
      </c>
      <c r="J86" s="498">
        <f>SD7a!J86+SD7b!J86++SD7e!J86</f>
        <v>0</v>
      </c>
      <c r="K86" s="501">
        <f>SD7a!K86+SD7b!K86++SD7e!K86</f>
        <v>0</v>
      </c>
    </row>
    <row r="87" spans="1:12" ht="13.15" customHeight="1" x14ac:dyDescent="0.25">
      <c r="A87" s="379" t="s">
        <v>1008</v>
      </c>
      <c r="B87" s="378"/>
      <c r="C87" s="609">
        <f>SD7a!C87+SD7b!C87++SD7e!C87</f>
        <v>0</v>
      </c>
      <c r="D87" s="498">
        <f>SD7a!D87+SD7b!D87++SD7e!D87</f>
        <v>0</v>
      </c>
      <c r="E87" s="499">
        <f>SD7a!E87+SD7b!E87++SD7e!E87</f>
        <v>0</v>
      </c>
      <c r="F87" s="500">
        <f>SD7a!F87+SD7b!F87++SD7e!F87</f>
        <v>0</v>
      </c>
      <c r="G87" s="498">
        <f>SD7a!G87+SD7b!G87++SD7e!G87</f>
        <v>0</v>
      </c>
      <c r="H87" s="501">
        <f>SD7a!H87+SD7b!H87++SD7e!H87</f>
        <v>0</v>
      </c>
      <c r="I87" s="500">
        <f>SD7a!I87+SD7b!I87++SD7e!I87</f>
        <v>0</v>
      </c>
      <c r="J87" s="498">
        <f>SD7a!J87+SD7b!J87++SD7e!J87</f>
        <v>0</v>
      </c>
      <c r="K87" s="501">
        <f>SD7a!K87+SD7b!K87++SD7e!K87</f>
        <v>0</v>
      </c>
    </row>
    <row r="88" spans="1:12" ht="13.15" customHeight="1" x14ac:dyDescent="0.25">
      <c r="A88" s="379" t="s">
        <v>1009</v>
      </c>
      <c r="B88" s="378"/>
      <c r="C88" s="609">
        <f>SD7a!C88+SD7b!C88++SD7e!C88</f>
        <v>0</v>
      </c>
      <c r="D88" s="498">
        <f>SD7a!D88+SD7b!D88++SD7e!D88</f>
        <v>0</v>
      </c>
      <c r="E88" s="499">
        <f>SD7a!E88+SD7b!E88++SD7e!E88</f>
        <v>0</v>
      </c>
      <c r="F88" s="500">
        <f>SD7a!F88+SD7b!F88++SD7e!F88</f>
        <v>0</v>
      </c>
      <c r="G88" s="498">
        <f>SD7a!G88+SD7b!G88++SD7e!G88</f>
        <v>0</v>
      </c>
      <c r="H88" s="501">
        <f>SD7a!H88+SD7b!H88++SD7e!H88</f>
        <v>0</v>
      </c>
      <c r="I88" s="500">
        <f>SD7a!I88+SD7b!I88++SD7e!I88</f>
        <v>0</v>
      </c>
      <c r="J88" s="498">
        <f>SD7a!J88+SD7b!J88++SD7e!J88</f>
        <v>0</v>
      </c>
      <c r="K88" s="501">
        <f>SD7a!K88+SD7b!K88++SD7e!K88</f>
        <v>0</v>
      </c>
    </row>
    <row r="89" spans="1:12" ht="13.15" customHeight="1" x14ac:dyDescent="0.25">
      <c r="A89" s="379" t="s">
        <v>1010</v>
      </c>
      <c r="B89" s="378"/>
      <c r="C89" s="609">
        <f>SD7a!C89+SD7b!C89++SD7e!C89</f>
        <v>0</v>
      </c>
      <c r="D89" s="498">
        <f>SD7a!D89+SD7b!D89++SD7e!D89</f>
        <v>0</v>
      </c>
      <c r="E89" s="499">
        <f>SD7a!E89+SD7b!E89++SD7e!E89</f>
        <v>0</v>
      </c>
      <c r="F89" s="500">
        <f>SD7a!F89+SD7b!F89++SD7e!F89</f>
        <v>0</v>
      </c>
      <c r="G89" s="498">
        <f>SD7a!G89+SD7b!G89++SD7e!G89</f>
        <v>0</v>
      </c>
      <c r="H89" s="501">
        <f>SD7a!H89+SD7b!H89++SD7e!H89</f>
        <v>0</v>
      </c>
      <c r="I89" s="500">
        <f>SD7a!I89+SD7b!I89++SD7e!I89</f>
        <v>0</v>
      </c>
      <c r="J89" s="498">
        <f>SD7a!J89+SD7b!J89++SD7e!J89</f>
        <v>0</v>
      </c>
      <c r="K89" s="501">
        <f>SD7a!K89+SD7b!K89++SD7e!K89</f>
        <v>0</v>
      </c>
    </row>
    <row r="90" spans="1:12" ht="13.15" customHeight="1" x14ac:dyDescent="0.25">
      <c r="A90" s="379" t="s">
        <v>1011</v>
      </c>
      <c r="B90" s="378"/>
      <c r="C90" s="609">
        <f>SD7a!C90+SD7b!C90++SD7e!C90</f>
        <v>0</v>
      </c>
      <c r="D90" s="498">
        <f>SD7a!D90+SD7b!D90++SD7e!D90</f>
        <v>0</v>
      </c>
      <c r="E90" s="499">
        <f>SD7a!E90+SD7b!E90++SD7e!E90</f>
        <v>0</v>
      </c>
      <c r="F90" s="500">
        <f>SD7a!F90+SD7b!F90++SD7e!F90</f>
        <v>0</v>
      </c>
      <c r="G90" s="498">
        <f>SD7a!G90+SD7b!G90++SD7e!G90</f>
        <v>0</v>
      </c>
      <c r="H90" s="501">
        <f>SD7a!H90+SD7b!H90++SD7e!H90</f>
        <v>0</v>
      </c>
      <c r="I90" s="500">
        <f>SD7a!I90+SD7b!I90++SD7e!I90</f>
        <v>0</v>
      </c>
      <c r="J90" s="498">
        <f>SD7a!J90+SD7b!J90++SD7e!J90</f>
        <v>0</v>
      </c>
      <c r="K90" s="501">
        <f>SD7a!K90+SD7b!K90++SD7e!K90</f>
        <v>0</v>
      </c>
    </row>
    <row r="91" spans="1:12" ht="13.15" customHeight="1" x14ac:dyDescent="0.25">
      <c r="A91" s="379" t="s">
        <v>1012</v>
      </c>
      <c r="B91" s="378"/>
      <c r="C91" s="609">
        <f>SD7a!C91+SD7b!C91++SD7e!C91</f>
        <v>0</v>
      </c>
      <c r="D91" s="498">
        <f>SD7a!D91+SD7b!D91++SD7e!D91</f>
        <v>0</v>
      </c>
      <c r="E91" s="499">
        <f>SD7a!E91+SD7b!E91++SD7e!E91</f>
        <v>0</v>
      </c>
      <c r="F91" s="500">
        <f>SD7a!F91+SD7b!F91++SD7e!F91</f>
        <v>0</v>
      </c>
      <c r="G91" s="498">
        <f>SD7a!G91+SD7b!G91++SD7e!G91</f>
        <v>0</v>
      </c>
      <c r="H91" s="501">
        <f>SD7a!H91+SD7b!H91++SD7e!H91</f>
        <v>0</v>
      </c>
      <c r="I91" s="500">
        <f>SD7a!I91+SD7b!I91++SD7e!I91</f>
        <v>0</v>
      </c>
      <c r="J91" s="498">
        <f>SD7a!J91+SD7b!J91++SD7e!J91</f>
        <v>0</v>
      </c>
      <c r="K91" s="501">
        <f>SD7a!K91+SD7b!K91++SD7e!K91</f>
        <v>0</v>
      </c>
    </row>
    <row r="92" spans="1:12" ht="13.15" customHeight="1" x14ac:dyDescent="0.25">
      <c r="A92" s="379" t="s">
        <v>18</v>
      </c>
      <c r="B92" s="378"/>
      <c r="C92" s="609">
        <f>SD7a!C92+SD7b!C92++SD7e!C92</f>
        <v>0</v>
      </c>
      <c r="D92" s="498">
        <f>SD7a!D92+SD7b!D92++SD7e!D92</f>
        <v>0</v>
      </c>
      <c r="E92" s="499">
        <f>SD7a!E92+SD7b!E92++SD7e!E92</f>
        <v>0</v>
      </c>
      <c r="F92" s="500">
        <f>SD7a!F92+SD7b!F92++SD7e!F92</f>
        <v>0</v>
      </c>
      <c r="G92" s="498">
        <f>SD7a!G92+SD7b!G92++SD7e!G92</f>
        <v>0</v>
      </c>
      <c r="H92" s="501">
        <f>SD7a!H92+SD7b!H92++SD7e!H92</f>
        <v>0</v>
      </c>
      <c r="I92" s="500">
        <f>SD7a!I92+SD7b!I92++SD7e!I92</f>
        <v>0</v>
      </c>
      <c r="J92" s="498">
        <f>SD7a!J92+SD7b!J92++SD7e!J92</f>
        <v>0</v>
      </c>
      <c r="K92" s="501">
        <f>SD7a!K92+SD7b!K92++SD7e!K92</f>
        <v>0</v>
      </c>
    </row>
    <row r="93" spans="1:12" ht="13.15" customHeight="1" x14ac:dyDescent="0.25">
      <c r="A93" s="379" t="s">
        <v>1013</v>
      </c>
      <c r="B93" s="378"/>
      <c r="C93" s="609">
        <f>SD7a!C93+SD7b!C93++SD7e!C93</f>
        <v>0</v>
      </c>
      <c r="D93" s="498">
        <f>SD7a!D93+SD7b!D93++SD7e!D93</f>
        <v>0</v>
      </c>
      <c r="E93" s="499">
        <f>SD7a!E93+SD7b!E93++SD7e!E93</f>
        <v>0</v>
      </c>
      <c r="F93" s="500">
        <f>SD7a!F93+SD7b!F93++SD7e!F93</f>
        <v>0</v>
      </c>
      <c r="G93" s="498">
        <f>SD7a!G93+SD7b!G93++SD7e!G93</f>
        <v>0</v>
      </c>
      <c r="H93" s="501">
        <f>SD7a!H93+SD7b!H93++SD7e!H93</f>
        <v>0</v>
      </c>
      <c r="I93" s="500">
        <f>SD7a!I93+SD7b!I93++SD7e!I93</f>
        <v>0</v>
      </c>
      <c r="J93" s="498">
        <f>SD7a!J93+SD7b!J93++SD7e!J93</f>
        <v>0</v>
      </c>
      <c r="K93" s="501">
        <f>SD7a!K93+SD7b!K93++SD7e!K93</f>
        <v>0</v>
      </c>
    </row>
    <row r="94" spans="1:12" ht="13.15" customHeight="1" x14ac:dyDescent="0.25">
      <c r="A94" s="379" t="s">
        <v>17</v>
      </c>
      <c r="B94" s="378"/>
      <c r="C94" s="609">
        <f>SD7a!C94+SD7b!C94++SD7e!C94</f>
        <v>0</v>
      </c>
      <c r="D94" s="498">
        <f>SD7a!D94+SD7b!D94++SD7e!D94</f>
        <v>0</v>
      </c>
      <c r="E94" s="499">
        <f>SD7a!E94+SD7b!E94++SD7e!E94</f>
        <v>0</v>
      </c>
      <c r="F94" s="500">
        <f>SD7a!F94+SD7b!F94++SD7e!F94</f>
        <v>0</v>
      </c>
      <c r="G94" s="498">
        <f>SD7a!G94+SD7b!G94++SD7e!G94</f>
        <v>0</v>
      </c>
      <c r="H94" s="501">
        <f>SD7a!H94+SD7b!H94++SD7e!H94</f>
        <v>0</v>
      </c>
      <c r="I94" s="500">
        <f>SD7a!I94+SD7b!I94++SD7e!I94</f>
        <v>0</v>
      </c>
      <c r="J94" s="498">
        <f>SD7a!J94+SD7b!J94++SD7e!J94</f>
        <v>0</v>
      </c>
      <c r="K94" s="501">
        <f>SD7a!K94+SD7b!K94++SD7e!K94</f>
        <v>0</v>
      </c>
    </row>
    <row r="95" spans="1:12" ht="13.15" customHeight="1" x14ac:dyDescent="0.25">
      <c r="A95" s="379" t="s">
        <v>1014</v>
      </c>
      <c r="B95" s="378"/>
      <c r="C95" s="609">
        <f>SD7a!C95+SD7b!C95++SD7e!C95</f>
        <v>0</v>
      </c>
      <c r="D95" s="498">
        <f>SD7a!D95+SD7b!D95++SD7e!D95</f>
        <v>0</v>
      </c>
      <c r="E95" s="499">
        <f>SD7a!E95+SD7b!E95++SD7e!E95</f>
        <v>0</v>
      </c>
      <c r="F95" s="500">
        <f>SD7a!F95+SD7b!F95++SD7e!F95</f>
        <v>0</v>
      </c>
      <c r="G95" s="498">
        <f>SD7a!G95+SD7b!G95++SD7e!G95</f>
        <v>0</v>
      </c>
      <c r="H95" s="501">
        <f>SD7a!H95+SD7b!H95++SD7e!H95</f>
        <v>0</v>
      </c>
      <c r="I95" s="500">
        <f>SD7a!I95+SD7b!I95++SD7e!I95</f>
        <v>0</v>
      </c>
      <c r="J95" s="498">
        <f>SD7a!J95+SD7b!J95++SD7e!J95</f>
        <v>0</v>
      </c>
      <c r="K95" s="501">
        <f>SD7a!K95+SD7b!K95++SD7e!K95</f>
        <v>0</v>
      </c>
    </row>
    <row r="96" spans="1:12" ht="13.15" customHeight="1" x14ac:dyDescent="0.25">
      <c r="A96" s="379" t="s">
        <v>1015</v>
      </c>
      <c r="B96" s="378"/>
      <c r="C96" s="609">
        <f>SD7a!C96+SD7b!C96++SD7e!C96</f>
        <v>0</v>
      </c>
      <c r="D96" s="498">
        <f>SD7a!D96+SD7b!D96++SD7e!D96</f>
        <v>0</v>
      </c>
      <c r="E96" s="499">
        <f>SD7a!E96+SD7b!E96++SD7e!E96</f>
        <v>0</v>
      </c>
      <c r="F96" s="500">
        <f>SD7a!F96+SD7b!F96++SD7e!F96</f>
        <v>0</v>
      </c>
      <c r="G96" s="498">
        <f>SD7a!G96+SD7b!G96++SD7e!G96</f>
        <v>0</v>
      </c>
      <c r="H96" s="501">
        <f>SD7a!H96+SD7b!H96++SD7e!H96</f>
        <v>0</v>
      </c>
      <c r="I96" s="500">
        <f>SD7a!I96+SD7b!I96++SD7e!I96</f>
        <v>0</v>
      </c>
      <c r="J96" s="498">
        <f>SD7a!J96+SD7b!J96++SD7e!J96</f>
        <v>0</v>
      </c>
      <c r="K96" s="501">
        <f>SD7a!K96+SD7b!K96++SD7e!K96</f>
        <v>0</v>
      </c>
    </row>
    <row r="97" spans="1:11" ht="13.15" customHeight="1" x14ac:dyDescent="0.25">
      <c r="A97" s="379" t="s">
        <v>947</v>
      </c>
      <c r="B97" s="378"/>
      <c r="C97" s="609">
        <f>SD7a!C97+SD7b!C97++SD7e!C97</f>
        <v>0</v>
      </c>
      <c r="D97" s="498">
        <f>SD7a!D97+SD7b!D97++SD7e!D97</f>
        <v>0</v>
      </c>
      <c r="E97" s="499">
        <f>SD7a!E97+SD7b!E97++SD7e!E97</f>
        <v>0</v>
      </c>
      <c r="F97" s="500">
        <f>SD7a!F97+SD7b!F97++SD7e!F97</f>
        <v>0</v>
      </c>
      <c r="G97" s="498">
        <f>SD7a!G97+SD7b!G97++SD7e!G97</f>
        <v>0</v>
      </c>
      <c r="H97" s="501">
        <f>SD7a!H97+SD7b!H97++SD7e!H97</f>
        <v>0</v>
      </c>
      <c r="I97" s="500">
        <f>SD7a!I97+SD7b!I97++SD7e!I97</f>
        <v>0</v>
      </c>
      <c r="J97" s="498">
        <f>SD7a!J97+SD7b!J97++SD7e!J97</f>
        <v>0</v>
      </c>
      <c r="K97" s="501">
        <f>SD7a!K97+SD7b!K97++SD7e!K97</f>
        <v>0</v>
      </c>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609">
        <f>SD7a!C99+SD7b!C99++SD7e!C99</f>
        <v>0</v>
      </c>
      <c r="D99" s="498">
        <f>SD7a!D99+SD7b!D99++SD7e!D99</f>
        <v>0</v>
      </c>
      <c r="E99" s="499">
        <f>SD7a!E99+SD7b!E99++SD7e!E99</f>
        <v>0</v>
      </c>
      <c r="F99" s="500">
        <f>SD7a!F99+SD7b!F99++SD7e!F99</f>
        <v>0</v>
      </c>
      <c r="G99" s="498">
        <f>SD7a!G99+SD7b!G99++SD7e!G99</f>
        <v>0</v>
      </c>
      <c r="H99" s="501">
        <f>SD7a!H99+SD7b!H99++SD7e!H99</f>
        <v>0</v>
      </c>
      <c r="I99" s="500">
        <f>SD7a!I99+SD7b!I99++SD7e!I99</f>
        <v>0</v>
      </c>
      <c r="J99" s="498">
        <f>SD7a!J99+SD7b!J99++SD7e!J99</f>
        <v>0</v>
      </c>
      <c r="K99" s="501">
        <f>SD7a!K99+SD7b!K99++SD7e!K99</f>
        <v>0</v>
      </c>
    </row>
    <row r="100" spans="1:11" ht="13.15" customHeight="1" x14ac:dyDescent="0.25">
      <c r="A100" s="379" t="s">
        <v>1018</v>
      </c>
      <c r="B100" s="378"/>
      <c r="C100" s="609">
        <f>SD7a!C100+SD7b!C100++SD7e!C100</f>
        <v>0</v>
      </c>
      <c r="D100" s="498">
        <f>SD7a!D100+SD7b!D100++SD7e!D100</f>
        <v>0</v>
      </c>
      <c r="E100" s="499">
        <f>SD7a!E100+SD7b!E100++SD7e!E100</f>
        <v>0</v>
      </c>
      <c r="F100" s="500">
        <f>SD7a!F100+SD7b!F100++SD7e!F100</f>
        <v>0</v>
      </c>
      <c r="G100" s="498">
        <f>SD7a!G100+SD7b!G100++SD7e!G100</f>
        <v>0</v>
      </c>
      <c r="H100" s="501">
        <f>SD7a!H100+SD7b!H100++SD7e!H100</f>
        <v>0</v>
      </c>
      <c r="I100" s="500">
        <f>SD7a!I100+SD7b!I100++SD7e!I100</f>
        <v>0</v>
      </c>
      <c r="J100" s="498">
        <f>SD7a!J100+SD7b!J100++SD7e!J100</f>
        <v>0</v>
      </c>
      <c r="K100" s="501">
        <f>SD7a!K100+SD7b!K100++SD7e!K100</f>
        <v>0</v>
      </c>
    </row>
    <row r="101" spans="1:11" ht="13.15" customHeight="1" x14ac:dyDescent="0.25">
      <c r="A101" s="379" t="s">
        <v>947</v>
      </c>
      <c r="B101" s="378"/>
      <c r="C101" s="609">
        <f>SD7a!C101+SD7b!C101++SD7e!C101</f>
        <v>0</v>
      </c>
      <c r="D101" s="498">
        <f>SD7a!D101+SD7b!D101++SD7e!D101</f>
        <v>0</v>
      </c>
      <c r="E101" s="499">
        <f>SD7a!E101+SD7b!E101++SD7e!E101</f>
        <v>0</v>
      </c>
      <c r="F101" s="500">
        <f>SD7a!F101+SD7b!F101++SD7e!F101</f>
        <v>0</v>
      </c>
      <c r="G101" s="498">
        <f>SD7a!G101+SD7b!G101++SD7e!G101</f>
        <v>0</v>
      </c>
      <c r="H101" s="501">
        <f>SD7a!H101+SD7b!H101++SD7e!H101</f>
        <v>0</v>
      </c>
      <c r="I101" s="500">
        <f>SD7a!I101+SD7b!I101++SD7e!I101</f>
        <v>0</v>
      </c>
      <c r="J101" s="498">
        <f>SD7a!J101+SD7b!J101++SD7e!J101</f>
        <v>0</v>
      </c>
      <c r="K101" s="501">
        <f>SD7a!K101+SD7b!K101++SD7e!K101</f>
        <v>0</v>
      </c>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553">
        <f>SUM(C104:C108)</f>
        <v>0</v>
      </c>
      <c r="D103" s="553">
        <f t="shared" ref="D103:K103" si="13">SUM(D104:D108)</f>
        <v>0</v>
      </c>
      <c r="E103" s="614">
        <f t="shared" si="13"/>
        <v>0</v>
      </c>
      <c r="F103" s="615">
        <f t="shared" si="13"/>
        <v>0</v>
      </c>
      <c r="G103" s="553">
        <f t="shared" si="13"/>
        <v>0</v>
      </c>
      <c r="H103" s="616">
        <f t="shared" si="13"/>
        <v>0</v>
      </c>
      <c r="I103" s="615">
        <f t="shared" si="13"/>
        <v>0</v>
      </c>
      <c r="J103" s="553">
        <f t="shared" si="13"/>
        <v>0</v>
      </c>
      <c r="K103" s="614">
        <f t="shared" si="13"/>
        <v>0</v>
      </c>
    </row>
    <row r="104" spans="1:11" ht="13.15" customHeight="1" x14ac:dyDescent="0.25">
      <c r="A104" s="361" t="s">
        <v>1019</v>
      </c>
      <c r="B104" s="378"/>
      <c r="C104" s="609">
        <f>SD7a!C104+SD7b!C104++SD7e!C104</f>
        <v>0</v>
      </c>
      <c r="D104" s="498">
        <f>SD7a!D104+SD7b!D104++SD7e!D104</f>
        <v>0</v>
      </c>
      <c r="E104" s="499">
        <f>SD7a!E104+SD7b!E104++SD7e!E104</f>
        <v>0</v>
      </c>
      <c r="F104" s="500">
        <f>SD7a!F104+SD7b!F104++SD7e!F104</f>
        <v>0</v>
      </c>
      <c r="G104" s="498">
        <f>SD7a!G104+SD7b!G104++SD7e!G104</f>
        <v>0</v>
      </c>
      <c r="H104" s="501">
        <f>SD7a!H104+SD7b!H104++SD7e!H104</f>
        <v>0</v>
      </c>
      <c r="I104" s="500">
        <f>SD7a!I104+SD7b!I104++SD7e!I104</f>
        <v>0</v>
      </c>
      <c r="J104" s="498">
        <f>SD7a!J104+SD7b!J104++SD7e!J104</f>
        <v>0</v>
      </c>
      <c r="K104" s="501">
        <f>SD7a!K104+SD7b!K104++SD7e!K104</f>
        <v>0</v>
      </c>
    </row>
    <row r="105" spans="1:11" ht="13.15" customHeight="1" x14ac:dyDescent="0.25">
      <c r="A105" s="360" t="s">
        <v>1020</v>
      </c>
      <c r="B105" s="378"/>
      <c r="C105" s="609">
        <f>SD7a!C105+SD7b!C105++SD7e!C105</f>
        <v>0</v>
      </c>
      <c r="D105" s="498">
        <f>SD7a!D105+SD7b!D105++SD7e!D105</f>
        <v>0</v>
      </c>
      <c r="E105" s="499">
        <f>SD7a!E105+SD7b!E105++SD7e!E105</f>
        <v>0</v>
      </c>
      <c r="F105" s="500">
        <f>SD7a!F105+SD7b!F105++SD7e!F105</f>
        <v>0</v>
      </c>
      <c r="G105" s="498">
        <f>SD7a!G105+SD7b!G105++SD7e!G105</f>
        <v>0</v>
      </c>
      <c r="H105" s="501">
        <f>SD7a!H105+SD7b!H105++SD7e!H105</f>
        <v>0</v>
      </c>
      <c r="I105" s="500">
        <f>SD7a!I105+SD7b!I105++SD7e!I105</f>
        <v>0</v>
      </c>
      <c r="J105" s="498">
        <f>SD7a!J105+SD7b!J105++SD7e!J105</f>
        <v>0</v>
      </c>
      <c r="K105" s="501">
        <f>SD7a!K105+SD7b!K105++SD7e!K105</f>
        <v>0</v>
      </c>
    </row>
    <row r="106" spans="1:11" ht="13.15" customHeight="1" x14ac:dyDescent="0.25">
      <c r="A106" s="361" t="s">
        <v>1021</v>
      </c>
      <c r="B106" s="378"/>
      <c r="C106" s="609">
        <f>SD7a!C106+SD7b!C106++SD7e!C106</f>
        <v>0</v>
      </c>
      <c r="D106" s="498">
        <f>SD7a!D106+SD7b!D106++SD7e!D106</f>
        <v>0</v>
      </c>
      <c r="E106" s="499">
        <f>SD7a!E106+SD7b!E106++SD7e!E106</f>
        <v>0</v>
      </c>
      <c r="F106" s="500">
        <f>SD7a!F106+SD7b!F106++SD7e!F106</f>
        <v>0</v>
      </c>
      <c r="G106" s="498">
        <f>SD7a!G106+SD7b!G106++SD7e!G106</f>
        <v>0</v>
      </c>
      <c r="H106" s="501">
        <f>SD7a!H106+SD7b!H106++SD7e!H106</f>
        <v>0</v>
      </c>
      <c r="I106" s="500">
        <f>SD7a!I106+SD7b!I106++SD7e!I106</f>
        <v>0</v>
      </c>
      <c r="J106" s="498">
        <f>SD7a!J106+SD7b!J106++SD7e!J106</f>
        <v>0</v>
      </c>
      <c r="K106" s="501">
        <f>SD7a!K106+SD7b!K106++SD7e!K106</f>
        <v>0</v>
      </c>
    </row>
    <row r="107" spans="1:11" ht="13.15" customHeight="1" x14ac:dyDescent="0.25">
      <c r="A107" s="361" t="s">
        <v>1022</v>
      </c>
      <c r="B107" s="378"/>
      <c r="C107" s="609">
        <f>SD7a!C107+SD7b!C107++SD7e!C107</f>
        <v>0</v>
      </c>
      <c r="D107" s="498">
        <f>SD7a!D107+SD7b!D107++SD7e!D107</f>
        <v>0</v>
      </c>
      <c r="E107" s="499">
        <f>SD7a!E107+SD7b!E107++SD7e!E107</f>
        <v>0</v>
      </c>
      <c r="F107" s="500">
        <f>SD7a!F107+SD7b!F107++SD7e!F107</f>
        <v>0</v>
      </c>
      <c r="G107" s="498">
        <f>SD7a!G107+SD7b!G107++SD7e!G107</f>
        <v>0</v>
      </c>
      <c r="H107" s="501">
        <f>SD7a!H107+SD7b!H107++SD7e!H107</f>
        <v>0</v>
      </c>
      <c r="I107" s="500">
        <f>SD7a!I107+SD7b!I107++SD7e!I107</f>
        <v>0</v>
      </c>
      <c r="J107" s="498">
        <f>SD7a!J107+SD7b!J107++SD7e!J107</f>
        <v>0</v>
      </c>
      <c r="K107" s="501">
        <f>SD7a!K107+SD7b!K107++SD7e!K107</f>
        <v>0</v>
      </c>
    </row>
    <row r="108" spans="1:11" ht="13.15" customHeight="1" x14ac:dyDescent="0.25">
      <c r="A108" s="360" t="s">
        <v>1023</v>
      </c>
      <c r="B108" s="378"/>
      <c r="C108" s="609">
        <f>SD7a!C108+SD7b!C108++SD7e!C108</f>
        <v>0</v>
      </c>
      <c r="D108" s="498">
        <f>SD7a!D108+SD7b!D108++SD7e!D108</f>
        <v>0</v>
      </c>
      <c r="E108" s="499">
        <f>SD7a!E108+SD7b!E108++SD7e!E108</f>
        <v>0</v>
      </c>
      <c r="F108" s="500">
        <f>SD7a!F108+SD7b!F108++SD7e!F108</f>
        <v>0</v>
      </c>
      <c r="G108" s="498">
        <f>SD7a!G108+SD7b!G108++SD7e!G108</f>
        <v>0</v>
      </c>
      <c r="H108" s="501">
        <f>SD7a!H108+SD7b!H108++SD7e!H108</f>
        <v>0</v>
      </c>
      <c r="I108" s="500">
        <f>SD7a!I108+SD7b!I108++SD7e!I108</f>
        <v>0</v>
      </c>
      <c r="J108" s="498">
        <f>SD7a!J108+SD7b!J108++SD7e!J108</f>
        <v>0</v>
      </c>
      <c r="K108" s="501">
        <f>SD7a!K108+SD7b!K108++SD7e!K108</f>
        <v>0</v>
      </c>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609">
        <f>SD7a!C112+SD7b!C112++SD7e!C112</f>
        <v>0</v>
      </c>
      <c r="D112" s="498">
        <f>SD7a!D112+SD7b!D112++SD7e!D112</f>
        <v>0</v>
      </c>
      <c r="E112" s="499">
        <f>SD7a!E112+SD7b!E112++SD7e!E112</f>
        <v>0</v>
      </c>
      <c r="F112" s="500">
        <f>SD7a!F112+SD7b!F112++SD7e!F112</f>
        <v>0</v>
      </c>
      <c r="G112" s="498">
        <f>SD7a!G112+SD7b!G112++SD7e!G112</f>
        <v>0</v>
      </c>
      <c r="H112" s="501">
        <f>SD7a!H112+SD7b!H112++SD7e!H112</f>
        <v>0</v>
      </c>
      <c r="I112" s="500">
        <f>SD7a!I112+SD7b!I112++SD7e!I112</f>
        <v>0</v>
      </c>
      <c r="J112" s="498">
        <f>SD7a!J112+SD7b!J112++SD7e!J112</f>
        <v>0</v>
      </c>
      <c r="K112" s="501">
        <f>SD7a!K112+SD7b!K112++SD7e!K112</f>
        <v>0</v>
      </c>
    </row>
    <row r="113" spans="1:11" ht="13.15" customHeight="1" x14ac:dyDescent="0.25">
      <c r="A113" s="379" t="s">
        <v>1026</v>
      </c>
      <c r="B113" s="378"/>
      <c r="C113" s="609">
        <f>SD7a!C113+SD7b!C113++SD7e!C113</f>
        <v>0</v>
      </c>
      <c r="D113" s="498">
        <f>SD7a!D113+SD7b!D113++SD7e!D113</f>
        <v>0</v>
      </c>
      <c r="E113" s="499">
        <f>SD7a!E113+SD7b!E113++SD7e!E113</f>
        <v>0</v>
      </c>
      <c r="F113" s="500">
        <f>SD7a!F113+SD7b!F113++SD7e!F113</f>
        <v>0</v>
      </c>
      <c r="G113" s="498">
        <f>SD7a!G113+SD7b!G113++SD7e!G113</f>
        <v>0</v>
      </c>
      <c r="H113" s="501">
        <f>SD7a!H113+SD7b!H113++SD7e!H113</f>
        <v>0</v>
      </c>
      <c r="I113" s="500">
        <f>SD7a!I113+SD7b!I113++SD7e!I113</f>
        <v>0</v>
      </c>
      <c r="J113" s="498">
        <f>SD7a!J113+SD7b!J113++SD7e!J113</f>
        <v>0</v>
      </c>
      <c r="K113" s="501">
        <f>SD7a!K113+SD7b!K113++SD7e!K113</f>
        <v>0</v>
      </c>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609">
        <f>SD7a!C115+SD7b!C115++SD7e!C115</f>
        <v>0</v>
      </c>
      <c r="D115" s="498">
        <f>SD7a!D115+SD7b!D115++SD7e!D115</f>
        <v>0</v>
      </c>
      <c r="E115" s="499">
        <f>SD7a!E115+SD7b!E115++SD7e!E115</f>
        <v>0</v>
      </c>
      <c r="F115" s="500">
        <f>SD7a!F115+SD7b!F115++SD7e!F115</f>
        <v>0</v>
      </c>
      <c r="G115" s="498">
        <f>SD7a!G115+SD7b!G115++SD7e!G115</f>
        <v>0</v>
      </c>
      <c r="H115" s="501">
        <f>SD7a!H115+SD7b!H115++SD7e!H115</f>
        <v>0</v>
      </c>
      <c r="I115" s="500">
        <f>SD7a!I115+SD7b!I115++SD7e!I115</f>
        <v>0</v>
      </c>
      <c r="J115" s="498">
        <f>SD7a!J115+SD7b!J115++SD7e!J115</f>
        <v>0</v>
      </c>
      <c r="K115" s="501">
        <f>SD7a!K115+SD7b!K115++SD7e!K115</f>
        <v>0</v>
      </c>
    </row>
    <row r="116" spans="1:11" ht="13.15" customHeight="1" x14ac:dyDescent="0.25">
      <c r="A116" s="379" t="s">
        <v>1026</v>
      </c>
      <c r="B116" s="378"/>
      <c r="C116" s="609">
        <f>SD7a!C116+SD7b!C116++SD7e!C116</f>
        <v>0</v>
      </c>
      <c r="D116" s="498">
        <f>SD7a!D116+SD7b!D116++SD7e!D116</f>
        <v>0</v>
      </c>
      <c r="E116" s="499">
        <f>SD7a!E116+SD7b!E116++SD7e!E116</f>
        <v>0</v>
      </c>
      <c r="F116" s="500">
        <f>SD7a!F116+SD7b!F116++SD7e!F116</f>
        <v>0</v>
      </c>
      <c r="G116" s="498">
        <f>SD7a!G116+SD7b!G116++SD7e!G116</f>
        <v>0</v>
      </c>
      <c r="H116" s="501">
        <f>SD7a!H116+SD7b!H116++SD7e!H116</f>
        <v>0</v>
      </c>
      <c r="I116" s="500">
        <f>SD7a!I116+SD7b!I116++SD7e!I116</f>
        <v>0</v>
      </c>
      <c r="J116" s="498">
        <f>SD7a!J116+SD7b!J116++SD7e!J116</f>
        <v>0</v>
      </c>
      <c r="K116" s="501">
        <f>SD7a!K116+SD7b!K116++SD7e!K116</f>
        <v>0</v>
      </c>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609">
        <f>SD7a!C120+SD7b!C120++SD7e!C120</f>
        <v>0</v>
      </c>
      <c r="D120" s="498">
        <f>SD7a!D120+SD7b!D120++SD7e!D120</f>
        <v>0</v>
      </c>
      <c r="E120" s="499">
        <f>SD7a!E120+SD7b!E120++SD7e!E120</f>
        <v>0</v>
      </c>
      <c r="F120" s="500">
        <f>SD7a!F120+SD7b!F120++SD7e!F120</f>
        <v>0</v>
      </c>
      <c r="G120" s="498">
        <f>SD7a!G120+SD7b!G120++SD7e!G120</f>
        <v>0</v>
      </c>
      <c r="H120" s="501">
        <f>SD7a!H120+SD7b!H120++SD7e!H120</f>
        <v>0</v>
      </c>
      <c r="I120" s="500">
        <f>SD7a!I120+SD7b!I120++SD7e!I120</f>
        <v>0</v>
      </c>
      <c r="J120" s="498">
        <f>SD7a!J120+SD7b!J120++SD7e!J120</f>
        <v>0</v>
      </c>
      <c r="K120" s="501">
        <f>SD7a!K120+SD7b!K120++SD7e!K120</f>
        <v>0</v>
      </c>
    </row>
    <row r="121" spans="1:11" ht="13.15" customHeight="1" x14ac:dyDescent="0.25">
      <c r="A121" s="379" t="s">
        <v>1030</v>
      </c>
      <c r="B121" s="378"/>
      <c r="C121" s="609">
        <f>SD7a!C121+SD7b!C121++SD7e!C121</f>
        <v>0</v>
      </c>
      <c r="D121" s="498">
        <f>SD7a!D121+SD7b!D121++SD7e!D121</f>
        <v>0</v>
      </c>
      <c r="E121" s="499">
        <f>SD7a!E121+SD7b!E121++SD7e!E121</f>
        <v>0</v>
      </c>
      <c r="F121" s="500">
        <f>SD7a!F121+SD7b!F121++SD7e!F121</f>
        <v>0</v>
      </c>
      <c r="G121" s="498">
        <f>SD7a!G121+SD7b!G121++SD7e!G121</f>
        <v>0</v>
      </c>
      <c r="H121" s="501">
        <f>SD7a!H121+SD7b!H121++SD7e!H121</f>
        <v>0</v>
      </c>
      <c r="I121" s="500">
        <f>SD7a!I121+SD7b!I121++SD7e!I121</f>
        <v>0</v>
      </c>
      <c r="J121" s="498">
        <f>SD7a!J121+SD7b!J121++SD7e!J121</f>
        <v>0</v>
      </c>
      <c r="K121" s="501">
        <f>SD7a!K121+SD7b!K121++SD7e!K121</f>
        <v>0</v>
      </c>
    </row>
    <row r="122" spans="1:11" ht="13.15" customHeight="1" x14ac:dyDescent="0.25">
      <c r="A122" s="379" t="s">
        <v>1031</v>
      </c>
      <c r="B122" s="378"/>
      <c r="C122" s="609">
        <f>SD7a!C122+SD7b!C122++SD7e!C122</f>
        <v>0</v>
      </c>
      <c r="D122" s="498">
        <f>SD7a!D122+SD7b!D122++SD7e!D122</f>
        <v>0</v>
      </c>
      <c r="E122" s="499">
        <f>SD7a!E122+SD7b!E122++SD7e!E122</f>
        <v>0</v>
      </c>
      <c r="F122" s="500">
        <f>SD7a!F122+SD7b!F122++SD7e!F122</f>
        <v>0</v>
      </c>
      <c r="G122" s="498">
        <f>SD7a!G122+SD7b!G122++SD7e!G122</f>
        <v>0</v>
      </c>
      <c r="H122" s="501">
        <f>SD7a!H122+SD7b!H122++SD7e!H122</f>
        <v>0</v>
      </c>
      <c r="I122" s="500">
        <f>SD7a!I122+SD7b!I122++SD7e!I122</f>
        <v>0</v>
      </c>
      <c r="J122" s="498">
        <f>SD7a!J122+SD7b!J122++SD7e!J122</f>
        <v>0</v>
      </c>
      <c r="K122" s="501">
        <f>SD7a!K122+SD7b!K122++SD7e!K122</f>
        <v>0</v>
      </c>
    </row>
    <row r="123" spans="1:11" ht="13.15" customHeight="1" x14ac:dyDescent="0.25">
      <c r="A123" s="379" t="s">
        <v>1032</v>
      </c>
      <c r="B123" s="378"/>
      <c r="C123" s="609">
        <f>SD7a!C123+SD7b!C123++SD7e!C123</f>
        <v>0</v>
      </c>
      <c r="D123" s="498">
        <f>SD7a!D123+SD7b!D123++SD7e!D123</f>
        <v>0</v>
      </c>
      <c r="E123" s="499">
        <f>SD7a!E123+SD7b!E123++SD7e!E123</f>
        <v>0</v>
      </c>
      <c r="F123" s="500">
        <f>SD7a!F123+SD7b!F123++SD7e!F123</f>
        <v>0</v>
      </c>
      <c r="G123" s="498">
        <f>SD7a!G123+SD7b!G123++SD7e!G123</f>
        <v>0</v>
      </c>
      <c r="H123" s="501">
        <f>SD7a!H123+SD7b!H123++SD7e!H123</f>
        <v>0</v>
      </c>
      <c r="I123" s="500">
        <f>SD7a!I123+SD7b!I123++SD7e!I123</f>
        <v>0</v>
      </c>
      <c r="J123" s="498">
        <f>SD7a!J123+SD7b!J123++SD7e!J123</f>
        <v>0</v>
      </c>
      <c r="K123" s="501">
        <f>SD7a!K123+SD7b!K123++SD7e!K123</f>
        <v>0</v>
      </c>
    </row>
    <row r="124" spans="1:11" ht="13.15" customHeight="1" x14ac:dyDescent="0.25">
      <c r="A124" s="379" t="s">
        <v>1033</v>
      </c>
      <c r="B124" s="378"/>
      <c r="C124" s="609">
        <f>SD7a!C124+SD7b!C124++SD7e!C124</f>
        <v>0</v>
      </c>
      <c r="D124" s="498">
        <f>SD7a!D124+SD7b!D124++SD7e!D124</f>
        <v>0</v>
      </c>
      <c r="E124" s="499">
        <f>SD7a!E124+SD7b!E124++SD7e!E124</f>
        <v>0</v>
      </c>
      <c r="F124" s="500">
        <f>SD7a!F124+SD7b!F124++SD7e!F124</f>
        <v>0</v>
      </c>
      <c r="G124" s="498">
        <f>SD7a!G124+SD7b!G124++SD7e!G124</f>
        <v>0</v>
      </c>
      <c r="H124" s="501">
        <f>SD7a!H124+SD7b!H124++SD7e!H124</f>
        <v>0</v>
      </c>
      <c r="I124" s="500">
        <f>SD7a!I124+SD7b!I124++SD7e!I124</f>
        <v>0</v>
      </c>
      <c r="J124" s="498">
        <f>SD7a!J124+SD7b!J124++SD7e!J124</f>
        <v>0</v>
      </c>
      <c r="K124" s="501">
        <f>SD7a!K124+SD7b!K124++SD7e!K124</f>
        <v>0</v>
      </c>
    </row>
    <row r="125" spans="1:11" ht="13.15" customHeight="1" x14ac:dyDescent="0.25">
      <c r="A125" s="379" t="s">
        <v>1034</v>
      </c>
      <c r="B125" s="378"/>
      <c r="C125" s="609">
        <f>SD7a!C125+SD7b!C125++SD7e!C125</f>
        <v>0</v>
      </c>
      <c r="D125" s="498">
        <f>SD7a!D125+SD7b!D125++SD7e!D125</f>
        <v>0</v>
      </c>
      <c r="E125" s="499">
        <f>SD7a!E125+SD7b!E125++SD7e!E125</f>
        <v>0</v>
      </c>
      <c r="F125" s="500">
        <f>SD7a!F125+SD7b!F125++SD7e!F125</f>
        <v>0</v>
      </c>
      <c r="G125" s="498">
        <f>SD7a!G125+SD7b!G125++SD7e!G125</f>
        <v>0</v>
      </c>
      <c r="H125" s="501">
        <f>SD7a!H125+SD7b!H125++SD7e!H125</f>
        <v>0</v>
      </c>
      <c r="I125" s="500">
        <f>SD7a!I125+SD7b!I125++SD7e!I125</f>
        <v>0</v>
      </c>
      <c r="J125" s="498">
        <f>SD7a!J125+SD7b!J125++SD7e!J125</f>
        <v>0</v>
      </c>
      <c r="K125" s="501">
        <f>SD7a!K125+SD7b!K125++SD7e!K125</f>
        <v>0</v>
      </c>
    </row>
    <row r="126" spans="1:11" ht="13.15" customHeight="1" x14ac:dyDescent="0.25">
      <c r="A126" s="379" t="s">
        <v>1035</v>
      </c>
      <c r="B126" s="378"/>
      <c r="C126" s="609">
        <f>SD7a!C126+SD7b!C126++SD7e!C126</f>
        <v>0</v>
      </c>
      <c r="D126" s="498">
        <f>SD7a!D126+SD7b!D126++SD7e!D126</f>
        <v>0</v>
      </c>
      <c r="E126" s="499">
        <f>SD7a!E126+SD7b!E126++SD7e!E126</f>
        <v>0</v>
      </c>
      <c r="F126" s="500">
        <f>SD7a!F126+SD7b!F126++SD7e!F126</f>
        <v>0</v>
      </c>
      <c r="G126" s="498">
        <f>SD7a!G126+SD7b!G126++SD7e!G126</f>
        <v>0</v>
      </c>
      <c r="H126" s="501">
        <f>SD7a!H126+SD7b!H126++SD7e!H126</f>
        <v>0</v>
      </c>
      <c r="I126" s="500">
        <f>SD7a!I126+SD7b!I126++SD7e!I126</f>
        <v>0</v>
      </c>
      <c r="J126" s="498">
        <f>SD7a!J126+SD7b!J126++SD7e!J126</f>
        <v>0</v>
      </c>
      <c r="K126" s="501">
        <f>SD7a!K126+SD7b!K126++SD7e!K126</f>
        <v>0</v>
      </c>
    </row>
    <row r="127" spans="1:11" ht="13.15" customHeight="1" x14ac:dyDescent="0.25">
      <c r="A127" s="379" t="s">
        <v>1036</v>
      </c>
      <c r="B127" s="378"/>
      <c r="C127" s="609">
        <f>SD7a!C127+SD7b!C127++SD7e!C127</f>
        <v>0</v>
      </c>
      <c r="D127" s="498">
        <f>SD7a!D127+SD7b!D127++SD7e!D127</f>
        <v>0</v>
      </c>
      <c r="E127" s="499">
        <f>SD7a!E127+SD7b!E127++SD7e!E127</f>
        <v>0</v>
      </c>
      <c r="F127" s="500">
        <f>SD7a!F127+SD7b!F127++SD7e!F127</f>
        <v>0</v>
      </c>
      <c r="G127" s="498">
        <f>SD7a!G127+SD7b!G127++SD7e!G127</f>
        <v>0</v>
      </c>
      <c r="H127" s="501">
        <f>SD7a!H127+SD7b!H127++SD7e!H127</f>
        <v>0</v>
      </c>
      <c r="I127" s="500">
        <f>SD7a!I127+SD7b!I127++SD7e!I127</f>
        <v>0</v>
      </c>
      <c r="J127" s="498">
        <f>SD7a!J127+SD7b!J127++SD7e!J127</f>
        <v>0</v>
      </c>
      <c r="K127" s="501">
        <f>SD7a!K127+SD7b!K127++SD7e!K127</f>
        <v>0</v>
      </c>
    </row>
    <row r="128" spans="1:11" ht="13.15" customHeight="1" x14ac:dyDescent="0.25">
      <c r="A128" s="379" t="s">
        <v>1037</v>
      </c>
      <c r="B128" s="378"/>
      <c r="C128" s="609">
        <f>SD7a!C128+SD7b!C128++SD7e!C128</f>
        <v>0</v>
      </c>
      <c r="D128" s="498">
        <f>SD7a!D128+SD7b!D128++SD7e!D128</f>
        <v>0</v>
      </c>
      <c r="E128" s="499">
        <f>SD7a!E128+SD7b!E128++SD7e!E128</f>
        <v>0</v>
      </c>
      <c r="F128" s="500">
        <f>SD7a!F128+SD7b!F128++SD7e!F128</f>
        <v>0</v>
      </c>
      <c r="G128" s="498">
        <f>SD7a!G128+SD7b!G128++SD7e!G128</f>
        <v>0</v>
      </c>
      <c r="H128" s="501">
        <f>SD7a!H128+SD7b!H128++SD7e!H128</f>
        <v>0</v>
      </c>
      <c r="I128" s="500">
        <f>SD7a!I128+SD7b!I128++SD7e!I128</f>
        <v>0</v>
      </c>
      <c r="J128" s="498">
        <f>SD7a!J128+SD7b!J128++SD7e!J128</f>
        <v>0</v>
      </c>
      <c r="K128" s="501">
        <f>SD7a!K128+SD7b!K128++SD7e!K128</f>
        <v>0</v>
      </c>
    </row>
    <row r="129" spans="1:11" ht="13.15" customHeight="1" x14ac:dyDescent="0.25">
      <c r="A129" s="379" t="s">
        <v>1038</v>
      </c>
      <c r="B129" s="378"/>
      <c r="C129" s="609">
        <f>SD7a!C129+SD7b!C129++SD7e!C129</f>
        <v>0</v>
      </c>
      <c r="D129" s="498">
        <f>SD7a!D129+SD7b!D129++SD7e!D129</f>
        <v>0</v>
      </c>
      <c r="E129" s="499">
        <f>SD7a!E129+SD7b!E129++SD7e!E129</f>
        <v>0</v>
      </c>
      <c r="F129" s="500">
        <f>SD7a!F129+SD7b!F129++SD7e!F129</f>
        <v>0</v>
      </c>
      <c r="G129" s="498">
        <f>SD7a!G129+SD7b!G129++SD7e!G129</f>
        <v>0</v>
      </c>
      <c r="H129" s="501">
        <f>SD7a!H129+SD7b!H129++SD7e!H129</f>
        <v>0</v>
      </c>
      <c r="I129" s="500">
        <f>SD7a!I129+SD7b!I129++SD7e!I129</f>
        <v>0</v>
      </c>
      <c r="J129" s="498">
        <f>SD7a!J129+SD7b!J129++SD7e!J129</f>
        <v>0</v>
      </c>
      <c r="K129" s="501">
        <f>SD7a!K129+SD7b!K129++SD7e!K129</f>
        <v>0</v>
      </c>
    </row>
    <row r="130" spans="1:11" ht="13.15" customHeight="1" x14ac:dyDescent="0.25">
      <c r="A130" s="379" t="s">
        <v>947</v>
      </c>
      <c r="B130" s="378"/>
      <c r="C130" s="609">
        <f>SD7a!C130+SD7b!C130++SD7e!C130</f>
        <v>0</v>
      </c>
      <c r="D130" s="498">
        <f>SD7a!D130+SD7b!D130++SD7e!D130</f>
        <v>0</v>
      </c>
      <c r="E130" s="499">
        <f>SD7a!E130+SD7b!E130++SD7e!E130</f>
        <v>0</v>
      </c>
      <c r="F130" s="500">
        <f>SD7a!F130+SD7b!F130++SD7e!F130</f>
        <v>0</v>
      </c>
      <c r="G130" s="498">
        <f>SD7a!G130+SD7b!G130++SD7e!G130</f>
        <v>0</v>
      </c>
      <c r="H130" s="501">
        <f>SD7a!H130+SD7b!H130++SD7e!H130</f>
        <v>0</v>
      </c>
      <c r="I130" s="500">
        <f>SD7a!I130+SD7b!I130++SD7e!I130</f>
        <v>0</v>
      </c>
      <c r="J130" s="498">
        <f>SD7a!J130+SD7b!J130++SD7e!J130</f>
        <v>0</v>
      </c>
      <c r="K130" s="501">
        <f>SD7a!K130+SD7b!K130++SD7e!K130</f>
        <v>0</v>
      </c>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609">
        <f>SD7a!C132+SD7b!C132++SD7e!C132</f>
        <v>0</v>
      </c>
      <c r="D132" s="498">
        <f>SD7a!D132+SD7b!D132++SD7e!D132</f>
        <v>0</v>
      </c>
      <c r="E132" s="499">
        <f>SD7a!E132+SD7b!E132++SD7e!E132</f>
        <v>0</v>
      </c>
      <c r="F132" s="500">
        <f>SD7a!F132+SD7b!F132++SD7e!F132</f>
        <v>0</v>
      </c>
      <c r="G132" s="498">
        <f>SD7a!G132+SD7b!G132++SD7e!G132</f>
        <v>0</v>
      </c>
      <c r="H132" s="501">
        <f>SD7a!H132+SD7b!H132++SD7e!H132</f>
        <v>0</v>
      </c>
      <c r="I132" s="500">
        <f>SD7a!I132+SD7b!I132++SD7e!I132</f>
        <v>0</v>
      </c>
      <c r="J132" s="498">
        <f>SD7a!J132+SD7b!J132++SD7e!J132</f>
        <v>0</v>
      </c>
      <c r="K132" s="501">
        <f>SD7a!K132+SD7b!K132++SD7e!K132</f>
        <v>0</v>
      </c>
    </row>
    <row r="133" spans="1:11" ht="13.15" customHeight="1" x14ac:dyDescent="0.25">
      <c r="A133" s="379" t="s">
        <v>1041</v>
      </c>
      <c r="B133" s="378"/>
      <c r="C133" s="609">
        <f>SD7a!C133+SD7b!C133++SD7e!C133</f>
        <v>0</v>
      </c>
      <c r="D133" s="498">
        <f>SD7a!D133+SD7b!D133++SD7e!D133</f>
        <v>0</v>
      </c>
      <c r="E133" s="499">
        <f>SD7a!E133+SD7b!E133++SD7e!E133</f>
        <v>0</v>
      </c>
      <c r="F133" s="500">
        <f>SD7a!F133+SD7b!F133++SD7e!F133</f>
        <v>0</v>
      </c>
      <c r="G133" s="498">
        <f>SD7a!G133+SD7b!G133++SD7e!G133</f>
        <v>0</v>
      </c>
      <c r="H133" s="501">
        <f>SD7a!H133+SD7b!H133++SD7e!H133</f>
        <v>0</v>
      </c>
      <c r="I133" s="500">
        <f>SD7a!I133+SD7b!I133++SD7e!I133</f>
        <v>0</v>
      </c>
      <c r="J133" s="498">
        <f>SD7a!J133+SD7b!J133++SD7e!J133</f>
        <v>0</v>
      </c>
      <c r="K133" s="501">
        <f>SD7a!K133+SD7b!K133++SD7e!K133</f>
        <v>0</v>
      </c>
    </row>
    <row r="134" spans="1:11" ht="13.15" customHeight="1" x14ac:dyDescent="0.25">
      <c r="A134" s="379" t="s">
        <v>947</v>
      </c>
      <c r="B134" s="378"/>
      <c r="C134" s="609">
        <f>SD7a!C134+SD7b!C134++SD7e!C134</f>
        <v>0</v>
      </c>
      <c r="D134" s="498">
        <f>SD7a!D134+SD7b!D134++SD7e!D134</f>
        <v>0</v>
      </c>
      <c r="E134" s="499">
        <f>SD7a!E134+SD7b!E134++SD7e!E134</f>
        <v>0</v>
      </c>
      <c r="F134" s="500">
        <f>SD7a!F134+SD7b!F134++SD7e!F134</f>
        <v>0</v>
      </c>
      <c r="G134" s="498">
        <f>SD7a!G134+SD7b!G134++SD7e!G134</f>
        <v>0</v>
      </c>
      <c r="H134" s="501">
        <f>SD7a!H134+SD7b!H134++SD7e!H134</f>
        <v>0</v>
      </c>
      <c r="I134" s="500">
        <f>SD7a!I134+SD7b!I134++SD7e!I134</f>
        <v>0</v>
      </c>
      <c r="J134" s="498">
        <f>SD7a!J134+SD7b!J134++SD7e!J134</f>
        <v>0</v>
      </c>
      <c r="K134" s="501">
        <f>SD7a!K134+SD7b!K134++SD7e!K134</f>
        <v>0</v>
      </c>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553">
        <f t="shared" ref="C136:K136" si="20">SUM(C137:C137)</f>
        <v>0</v>
      </c>
      <c r="D136" s="553">
        <f t="shared" si="20"/>
        <v>0</v>
      </c>
      <c r="E136" s="614">
        <f t="shared" si="20"/>
        <v>0</v>
      </c>
      <c r="F136" s="615">
        <f t="shared" si="20"/>
        <v>0</v>
      </c>
      <c r="G136" s="553">
        <f t="shared" si="20"/>
        <v>0</v>
      </c>
      <c r="H136" s="616">
        <f t="shared" si="20"/>
        <v>0</v>
      </c>
      <c r="I136" s="615">
        <f t="shared" si="20"/>
        <v>0</v>
      </c>
      <c r="J136" s="553">
        <f t="shared" si="20"/>
        <v>0</v>
      </c>
      <c r="K136" s="614">
        <f t="shared" si="20"/>
        <v>0</v>
      </c>
    </row>
    <row r="137" spans="1:11" ht="13.15" customHeight="1" x14ac:dyDescent="0.25">
      <c r="A137" s="361" t="s">
        <v>1042</v>
      </c>
      <c r="B137" s="378"/>
      <c r="C137" s="609">
        <f>SD7a!C137+SD7b!C137++SD7e!C137</f>
        <v>0</v>
      </c>
      <c r="D137" s="498">
        <f>SD7a!D137+SD7b!D137++SD7e!D137</f>
        <v>0</v>
      </c>
      <c r="E137" s="499">
        <f>SD7a!E137+SD7b!E137++SD7e!E137</f>
        <v>0</v>
      </c>
      <c r="F137" s="500">
        <f>SD7a!F137+SD7b!F137++SD7e!F137</f>
        <v>0</v>
      </c>
      <c r="G137" s="498">
        <f>SD7a!G137+SD7b!G137++SD7e!G137</f>
        <v>0</v>
      </c>
      <c r="H137" s="501">
        <f>SD7a!H137+SD7b!H137++SD7e!H137</f>
        <v>0</v>
      </c>
      <c r="I137" s="500">
        <f>SD7a!I137+SD7b!I137++SD7e!I137</f>
        <v>0</v>
      </c>
      <c r="J137" s="498">
        <f>SD7a!J137+SD7b!J137++SD7e!J137</f>
        <v>0</v>
      </c>
      <c r="K137" s="501">
        <f>SD7a!K137+SD7b!K137++SD7e!K137</f>
        <v>0</v>
      </c>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553">
        <f>+C140+C141</f>
        <v>0</v>
      </c>
      <c r="D139" s="553">
        <f t="shared" ref="D139:K139" si="21">+D140+D141</f>
        <v>0</v>
      </c>
      <c r="E139" s="614">
        <f t="shared" si="21"/>
        <v>0</v>
      </c>
      <c r="F139" s="615">
        <f t="shared" si="21"/>
        <v>0</v>
      </c>
      <c r="G139" s="553">
        <f t="shared" si="21"/>
        <v>0</v>
      </c>
      <c r="H139" s="616">
        <f t="shared" si="21"/>
        <v>0</v>
      </c>
      <c r="I139" s="615">
        <f t="shared" si="21"/>
        <v>0</v>
      </c>
      <c r="J139" s="553">
        <f t="shared" si="21"/>
        <v>0</v>
      </c>
      <c r="K139" s="614">
        <f t="shared" si="21"/>
        <v>0</v>
      </c>
    </row>
    <row r="140" spans="1:11" ht="13.15" customHeight="1" x14ac:dyDescent="0.25">
      <c r="A140" s="360" t="s">
        <v>1044</v>
      </c>
      <c r="B140" s="378"/>
      <c r="C140" s="609">
        <f>SD7a!C140+SD7b!C140++SD7e!C140</f>
        <v>0</v>
      </c>
      <c r="D140" s="498">
        <f>SD7a!D140+SD7b!D140++SD7e!D140</f>
        <v>0</v>
      </c>
      <c r="E140" s="499">
        <f>SD7a!E140+SD7b!E140++SD7e!E140</f>
        <v>0</v>
      </c>
      <c r="F140" s="500">
        <f>SD7a!F140+SD7b!F140++SD7e!F140</f>
        <v>0</v>
      </c>
      <c r="G140" s="498">
        <f>SD7a!G140+SD7b!G140++SD7e!G140</f>
        <v>0</v>
      </c>
      <c r="H140" s="501">
        <f>SD7a!H140+SD7b!H140++SD7e!H140</f>
        <v>0</v>
      </c>
      <c r="I140" s="500">
        <f>SD7a!I140+SD7b!I140++SD7e!I140</f>
        <v>0</v>
      </c>
      <c r="J140" s="498">
        <f>SD7a!J140+SD7b!J140++SD7e!J140</f>
        <v>0</v>
      </c>
      <c r="K140" s="501">
        <f>SD7a!K140+SD7b!K140++SD7e!K140</f>
        <v>0</v>
      </c>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609">
        <f>SD7a!C142+SD7b!C142++SD7e!C142</f>
        <v>0</v>
      </c>
      <c r="D142" s="498">
        <f>SD7a!D142+SD7b!D142++SD7e!D142</f>
        <v>0</v>
      </c>
      <c r="E142" s="499">
        <f>SD7a!E142+SD7b!E142++SD7e!E142</f>
        <v>0</v>
      </c>
      <c r="F142" s="500">
        <f>SD7a!F142+SD7b!F142++SD7e!F142</f>
        <v>0</v>
      </c>
      <c r="G142" s="498">
        <f>SD7a!G142+SD7b!G142++SD7e!G142</f>
        <v>0</v>
      </c>
      <c r="H142" s="501">
        <f>SD7a!H142+SD7b!H142++SD7e!H142</f>
        <v>0</v>
      </c>
      <c r="I142" s="500">
        <f>SD7a!I142+SD7b!I142++SD7e!I142</f>
        <v>0</v>
      </c>
      <c r="J142" s="498">
        <f>SD7a!J142+SD7b!J142++SD7e!J142</f>
        <v>0</v>
      </c>
      <c r="K142" s="501">
        <f>SD7a!K142+SD7b!K142++SD7e!K142</f>
        <v>0</v>
      </c>
    </row>
    <row r="143" spans="1:11" ht="13.15" customHeight="1" x14ac:dyDescent="0.25">
      <c r="A143" s="379" t="s">
        <v>1047</v>
      </c>
      <c r="B143" s="378"/>
      <c r="C143" s="609">
        <f>SD7a!C143+SD7b!C143++SD7e!C143</f>
        <v>0</v>
      </c>
      <c r="D143" s="498">
        <f>SD7a!D143+SD7b!D143++SD7e!D143</f>
        <v>0</v>
      </c>
      <c r="E143" s="499">
        <f>SD7a!E143+SD7b!E143++SD7e!E143</f>
        <v>0</v>
      </c>
      <c r="F143" s="500">
        <f>SD7a!F143+SD7b!F143++SD7e!F143</f>
        <v>0</v>
      </c>
      <c r="G143" s="498">
        <f>SD7a!G143+SD7b!G143++SD7e!G143</f>
        <v>0</v>
      </c>
      <c r="H143" s="501">
        <f>SD7a!H143+SD7b!H143++SD7e!H143</f>
        <v>0</v>
      </c>
      <c r="I143" s="500">
        <f>SD7a!I143+SD7b!I143++SD7e!I143</f>
        <v>0</v>
      </c>
      <c r="J143" s="498">
        <f>SD7a!J143+SD7b!J143++SD7e!J143</f>
        <v>0</v>
      </c>
      <c r="K143" s="501">
        <f>SD7a!K143+SD7b!K143++SD7e!K143</f>
        <v>0</v>
      </c>
    </row>
    <row r="144" spans="1:11" ht="13.15" customHeight="1" x14ac:dyDescent="0.25">
      <c r="A144" s="379" t="s">
        <v>1048</v>
      </c>
      <c r="B144" s="378"/>
      <c r="C144" s="609">
        <f>SD7a!C144+SD7b!C144++SD7e!C144</f>
        <v>0</v>
      </c>
      <c r="D144" s="498">
        <f>SD7a!D144+SD7b!D144++SD7e!D144</f>
        <v>0</v>
      </c>
      <c r="E144" s="499">
        <f>SD7a!E144+SD7b!E144++SD7e!E144</f>
        <v>0</v>
      </c>
      <c r="F144" s="500">
        <f>SD7a!F144+SD7b!F144++SD7e!F144</f>
        <v>0</v>
      </c>
      <c r="G144" s="498">
        <f>SD7a!G144+SD7b!G144++SD7e!G144</f>
        <v>0</v>
      </c>
      <c r="H144" s="501">
        <f>SD7a!H144+SD7b!H144++SD7e!H144</f>
        <v>0</v>
      </c>
      <c r="I144" s="500">
        <f>SD7a!I144+SD7b!I144++SD7e!I144</f>
        <v>0</v>
      </c>
      <c r="J144" s="498">
        <f>SD7a!J144+SD7b!J144++SD7e!J144</f>
        <v>0</v>
      </c>
      <c r="K144" s="501">
        <f>SD7a!K144+SD7b!K144++SD7e!K144</f>
        <v>0</v>
      </c>
    </row>
    <row r="145" spans="1:11" ht="13.15" customHeight="1" x14ac:dyDescent="0.25">
      <c r="A145" s="379" t="s">
        <v>1049</v>
      </c>
      <c r="B145" s="378"/>
      <c r="C145" s="609">
        <f>SD7a!C145+SD7b!C145++SD7e!C145</f>
        <v>0</v>
      </c>
      <c r="D145" s="498">
        <f>SD7a!D145+SD7b!D145++SD7e!D145</f>
        <v>0</v>
      </c>
      <c r="E145" s="499">
        <f>SD7a!E145+SD7b!E145++SD7e!E145</f>
        <v>0</v>
      </c>
      <c r="F145" s="500">
        <f>SD7a!F145+SD7b!F145++SD7e!F145</f>
        <v>0</v>
      </c>
      <c r="G145" s="498">
        <f>SD7a!G145+SD7b!G145++SD7e!G145</f>
        <v>0</v>
      </c>
      <c r="H145" s="501">
        <f>SD7a!H145+SD7b!H145++SD7e!H145</f>
        <v>0</v>
      </c>
      <c r="I145" s="500">
        <f>SD7a!I145+SD7b!I145++SD7e!I145</f>
        <v>0</v>
      </c>
      <c r="J145" s="498">
        <f>SD7a!J145+SD7b!J145++SD7e!J145</f>
        <v>0</v>
      </c>
      <c r="K145" s="501">
        <f>SD7a!K145+SD7b!K145++SD7e!K145</f>
        <v>0</v>
      </c>
    </row>
    <row r="146" spans="1:11" ht="13.15" customHeight="1" x14ac:dyDescent="0.25">
      <c r="A146" s="379" t="s">
        <v>1050</v>
      </c>
      <c r="B146" s="378"/>
      <c r="C146" s="609">
        <f>SD7a!C146+SD7b!C146++SD7e!C146</f>
        <v>0</v>
      </c>
      <c r="D146" s="498">
        <f>SD7a!D146+SD7b!D146++SD7e!D146</f>
        <v>0</v>
      </c>
      <c r="E146" s="499">
        <f>SD7a!E146+SD7b!E146++SD7e!E146</f>
        <v>0</v>
      </c>
      <c r="F146" s="500">
        <f>SD7a!F146+SD7b!F146++SD7e!F146</f>
        <v>0</v>
      </c>
      <c r="G146" s="498">
        <f>SD7a!G146+SD7b!G146++SD7e!G146</f>
        <v>0</v>
      </c>
      <c r="H146" s="501">
        <f>SD7a!H146+SD7b!H146++SD7e!H146</f>
        <v>0</v>
      </c>
      <c r="I146" s="500">
        <f>SD7a!I146+SD7b!I146++SD7e!I146</f>
        <v>0</v>
      </c>
      <c r="J146" s="498">
        <f>SD7a!J146+SD7b!J146++SD7e!J146</f>
        <v>0</v>
      </c>
      <c r="K146" s="501">
        <f>SD7a!K146+SD7b!K146++SD7e!K146</f>
        <v>0</v>
      </c>
    </row>
    <row r="147" spans="1:11" ht="13.15" customHeight="1" x14ac:dyDescent="0.25">
      <c r="A147" s="379" t="s">
        <v>1051</v>
      </c>
      <c r="B147" s="378"/>
      <c r="C147" s="609">
        <f>SD7a!C147+SD7b!C147++SD7e!C147</f>
        <v>0</v>
      </c>
      <c r="D147" s="498">
        <f>SD7a!D147+SD7b!D147++SD7e!D147</f>
        <v>0</v>
      </c>
      <c r="E147" s="499">
        <f>SD7a!E147+SD7b!E147++SD7e!E147</f>
        <v>0</v>
      </c>
      <c r="F147" s="500">
        <f>SD7a!F147+SD7b!F147++SD7e!F147</f>
        <v>0</v>
      </c>
      <c r="G147" s="498">
        <f>SD7a!G147+SD7b!G147++SD7e!G147</f>
        <v>0</v>
      </c>
      <c r="H147" s="501">
        <f>SD7a!H147+SD7b!H147++SD7e!H147</f>
        <v>0</v>
      </c>
      <c r="I147" s="500">
        <f>SD7a!I147+SD7b!I147++SD7e!I147</f>
        <v>0</v>
      </c>
      <c r="J147" s="498">
        <f>SD7a!J147+SD7b!J147++SD7e!J147</f>
        <v>0</v>
      </c>
      <c r="K147" s="501">
        <f>SD7a!K147+SD7b!K147++SD7e!K147</f>
        <v>0</v>
      </c>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553">
        <f t="shared" ref="C149:K149" si="23">SUM(C150:C150)</f>
        <v>0</v>
      </c>
      <c r="D149" s="553">
        <f t="shared" si="23"/>
        <v>0</v>
      </c>
      <c r="E149" s="614">
        <f t="shared" si="23"/>
        <v>0</v>
      </c>
      <c r="F149" s="615">
        <f t="shared" si="23"/>
        <v>0</v>
      </c>
      <c r="G149" s="553">
        <f t="shared" si="23"/>
        <v>0</v>
      </c>
      <c r="H149" s="616">
        <f t="shared" si="23"/>
        <v>0</v>
      </c>
      <c r="I149" s="615">
        <f t="shared" si="23"/>
        <v>0</v>
      </c>
      <c r="J149" s="553">
        <f t="shared" si="23"/>
        <v>0</v>
      </c>
      <c r="K149" s="614">
        <f t="shared" si="23"/>
        <v>0</v>
      </c>
    </row>
    <row r="150" spans="1:11" ht="13.15" customHeight="1" x14ac:dyDescent="0.25">
      <c r="A150" s="361" t="s">
        <v>1052</v>
      </c>
      <c r="B150" s="378"/>
      <c r="C150" s="609">
        <f>SD7a!C150+SD7b!C150++SD7e!C150</f>
        <v>0</v>
      </c>
      <c r="D150" s="498">
        <f>SD7a!D150+SD7b!D150++SD7e!D150</f>
        <v>0</v>
      </c>
      <c r="E150" s="499">
        <f>SD7a!E150+SD7b!E150++SD7e!E150</f>
        <v>0</v>
      </c>
      <c r="F150" s="500">
        <f>SD7a!F150+SD7b!F150++SD7e!F150</f>
        <v>0</v>
      </c>
      <c r="G150" s="498">
        <f>SD7a!G150+SD7b!G150++SD7e!G150</f>
        <v>0</v>
      </c>
      <c r="H150" s="501">
        <f>SD7a!H150+SD7b!H150++SD7e!H150</f>
        <v>0</v>
      </c>
      <c r="I150" s="500">
        <f>SD7a!I150+SD7b!I150++SD7e!I150</f>
        <v>0</v>
      </c>
      <c r="J150" s="498">
        <f>SD7a!J150+SD7b!J150++SD7e!J150</f>
        <v>0</v>
      </c>
      <c r="K150" s="501">
        <f>SD7a!K150+SD7b!K150++SD7e!K150</f>
        <v>0</v>
      </c>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553">
        <f t="shared" ref="C152:K152" si="24">SUM(C153:C153)</f>
        <v>61968</v>
      </c>
      <c r="D152" s="553">
        <f t="shared" si="24"/>
        <v>2000</v>
      </c>
      <c r="E152" s="614">
        <f t="shared" si="24"/>
        <v>2000</v>
      </c>
      <c r="F152" s="615">
        <f t="shared" si="24"/>
        <v>235000</v>
      </c>
      <c r="G152" s="553">
        <f t="shared" si="24"/>
        <v>0</v>
      </c>
      <c r="H152" s="616">
        <f t="shared" si="24"/>
        <v>235000</v>
      </c>
      <c r="I152" s="615">
        <f t="shared" si="24"/>
        <v>235000</v>
      </c>
      <c r="J152" s="553">
        <f t="shared" si="24"/>
        <v>235000</v>
      </c>
      <c r="K152" s="614">
        <f t="shared" si="24"/>
        <v>235000</v>
      </c>
    </row>
    <row r="153" spans="1:11" ht="13.15" customHeight="1" x14ac:dyDescent="0.25">
      <c r="A153" s="361" t="s">
        <v>1053</v>
      </c>
      <c r="B153" s="378"/>
      <c r="C153" s="609">
        <f>SD7a!C153+SD7b!C153++SD7e!C153</f>
        <v>61968</v>
      </c>
      <c r="D153" s="498">
        <f>SD7a!D153+SD7b!D153++SD7e!D153</f>
        <v>2000</v>
      </c>
      <c r="E153" s="499">
        <f>SD7a!E153+SD7b!E153++SD7e!E153</f>
        <v>2000</v>
      </c>
      <c r="F153" s="500">
        <f>SD7a!F153+SD7b!F153++SD7e!F153</f>
        <v>235000</v>
      </c>
      <c r="G153" s="498">
        <f>SD7a!G153+SD7b!G153++SD7e!G153</f>
        <v>0</v>
      </c>
      <c r="H153" s="501">
        <f>SD7a!H153+SD7b!H153++SD7e!H153</f>
        <v>235000</v>
      </c>
      <c r="I153" s="500">
        <f>SD7a!I153+SD7b!I153++SD7e!I153</f>
        <v>235000</v>
      </c>
      <c r="J153" s="498">
        <f>SD7a!J153+SD7b!J153++SD7e!J153</f>
        <v>235000</v>
      </c>
      <c r="K153" s="501">
        <f>SD7a!K153+SD7b!K153++SD7e!K153</f>
        <v>235000</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553">
        <f t="shared" ref="C155:K155" si="25">SUM(C156:C156)</f>
        <v>0</v>
      </c>
      <c r="D155" s="553">
        <f t="shared" si="25"/>
        <v>0</v>
      </c>
      <c r="E155" s="614">
        <f t="shared" si="25"/>
        <v>0</v>
      </c>
      <c r="F155" s="615">
        <f t="shared" si="25"/>
        <v>0</v>
      </c>
      <c r="G155" s="553">
        <f t="shared" si="25"/>
        <v>0</v>
      </c>
      <c r="H155" s="616">
        <f t="shared" si="25"/>
        <v>0</v>
      </c>
      <c r="I155" s="615">
        <f t="shared" si="25"/>
        <v>0</v>
      </c>
      <c r="J155" s="553">
        <f t="shared" si="25"/>
        <v>0</v>
      </c>
      <c r="K155" s="614">
        <f t="shared" si="25"/>
        <v>0</v>
      </c>
    </row>
    <row r="156" spans="1:11" ht="13.15" customHeight="1" x14ac:dyDescent="0.25">
      <c r="A156" s="361" t="s">
        <v>1054</v>
      </c>
      <c r="B156" s="378"/>
      <c r="C156" s="609">
        <f>SD7a!C156+SD7b!C156++SD7e!C156</f>
        <v>0</v>
      </c>
      <c r="D156" s="498">
        <f>SD7a!D156+SD7b!D156++SD7e!D156</f>
        <v>0</v>
      </c>
      <c r="E156" s="499">
        <f>SD7a!E156+SD7b!E156++SD7e!E156</f>
        <v>0</v>
      </c>
      <c r="F156" s="500">
        <f>SD7a!F156+SD7b!F156++SD7e!F156</f>
        <v>0</v>
      </c>
      <c r="G156" s="498">
        <f>SD7a!G156+SD7b!G156++SD7e!G156</f>
        <v>0</v>
      </c>
      <c r="H156" s="501">
        <f>SD7a!H156+SD7b!H156++SD7e!H156</f>
        <v>0</v>
      </c>
      <c r="I156" s="500">
        <f>SD7a!I156+SD7b!I156++SD7e!I156</f>
        <v>0</v>
      </c>
      <c r="J156" s="498">
        <f>SD7a!J156+SD7b!J156++SD7e!J156</f>
        <v>0</v>
      </c>
      <c r="K156" s="501">
        <f>SD7a!K156+SD7b!K156++SD7e!K156</f>
        <v>0</v>
      </c>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553">
        <f t="shared" ref="C158:K158" si="26">SUM(C159:C159)</f>
        <v>0</v>
      </c>
      <c r="D158" s="553">
        <f t="shared" si="26"/>
        <v>0</v>
      </c>
      <c r="E158" s="614">
        <f t="shared" si="26"/>
        <v>0</v>
      </c>
      <c r="F158" s="615">
        <f t="shared" si="26"/>
        <v>0</v>
      </c>
      <c r="G158" s="553">
        <f t="shared" si="26"/>
        <v>0</v>
      </c>
      <c r="H158" s="616">
        <f t="shared" si="26"/>
        <v>0</v>
      </c>
      <c r="I158" s="615">
        <f t="shared" si="26"/>
        <v>0</v>
      </c>
      <c r="J158" s="553">
        <f t="shared" si="26"/>
        <v>0</v>
      </c>
      <c r="K158" s="614">
        <f t="shared" si="26"/>
        <v>0</v>
      </c>
    </row>
    <row r="159" spans="1:11" ht="13.15" customHeight="1" x14ac:dyDescent="0.25">
      <c r="A159" s="361" t="s">
        <v>1055</v>
      </c>
      <c r="B159" s="378"/>
      <c r="C159" s="609">
        <f>SD7a!C159+SD7b!C159++SD7e!C159</f>
        <v>0</v>
      </c>
      <c r="D159" s="498">
        <f>SD7a!D159+SD7b!D159++SD7e!D159</f>
        <v>0</v>
      </c>
      <c r="E159" s="499">
        <f>SD7a!E159+SD7b!E159++SD7e!E159</f>
        <v>0</v>
      </c>
      <c r="F159" s="500">
        <f>SD7a!F159+SD7b!F159++SD7e!F159</f>
        <v>0</v>
      </c>
      <c r="G159" s="498">
        <f>SD7a!G159+SD7b!G159++SD7e!G159</f>
        <v>0</v>
      </c>
      <c r="H159" s="501">
        <f>SD7a!H159+SD7b!H159++SD7e!H159</f>
        <v>0</v>
      </c>
      <c r="I159" s="500">
        <f>SD7a!I159+SD7b!I159++SD7e!I159</f>
        <v>0</v>
      </c>
      <c r="J159" s="498">
        <f>SD7a!J159+SD7b!J159++SD7e!J159</f>
        <v>0</v>
      </c>
      <c r="K159" s="501">
        <f>SD7a!K159+SD7b!K159++SD7e!K159</f>
        <v>0</v>
      </c>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553">
        <f t="shared" ref="C161:K161" si="27">SUM(C162:C162)</f>
        <v>0</v>
      </c>
      <c r="D161" s="553">
        <f t="shared" si="27"/>
        <v>0</v>
      </c>
      <c r="E161" s="614">
        <f t="shared" si="27"/>
        <v>0</v>
      </c>
      <c r="F161" s="615">
        <f t="shared" si="27"/>
        <v>0</v>
      </c>
      <c r="G161" s="553">
        <f t="shared" si="27"/>
        <v>0</v>
      </c>
      <c r="H161" s="616">
        <f t="shared" si="27"/>
        <v>0</v>
      </c>
      <c r="I161" s="615">
        <f t="shared" si="27"/>
        <v>0</v>
      </c>
      <c r="J161" s="553">
        <f t="shared" si="27"/>
        <v>0</v>
      </c>
      <c r="K161" s="614">
        <f t="shared" si="27"/>
        <v>0</v>
      </c>
    </row>
    <row r="162" spans="1:23" ht="13.15" customHeight="1" x14ac:dyDescent="0.25">
      <c r="A162" s="361" t="s">
        <v>104</v>
      </c>
      <c r="B162" s="378"/>
      <c r="C162" s="609">
        <f>SD7a!C162+SD7b!C162++SD7e!C162</f>
        <v>0</v>
      </c>
      <c r="D162" s="498">
        <f>SD7a!D162+SD7b!D162++SD7e!D162</f>
        <v>0</v>
      </c>
      <c r="E162" s="499">
        <f>SD7a!E162+SD7b!E162++SD7e!E162</f>
        <v>0</v>
      </c>
      <c r="F162" s="500">
        <f>SD7a!F162+SD7b!F162++SD7e!F162</f>
        <v>0</v>
      </c>
      <c r="G162" s="498">
        <f>SD7a!G162+SD7b!G162++SD7e!G162</f>
        <v>0</v>
      </c>
      <c r="H162" s="501">
        <f>SD7a!H162+SD7b!H162++SD7e!H162</f>
        <v>0</v>
      </c>
      <c r="I162" s="500">
        <f>SD7a!I162+SD7b!I162++SD7e!I162</f>
        <v>0</v>
      </c>
      <c r="J162" s="498">
        <f>SD7a!J162+SD7b!J162++SD7e!J162</f>
        <v>0</v>
      </c>
      <c r="K162" s="501">
        <f>SD7a!K162+SD7b!K162++SD7e!K162</f>
        <v>0</v>
      </c>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553">
        <f t="shared" ref="C164:K164" si="28">SUM(C165:C165)</f>
        <v>0</v>
      </c>
      <c r="D164" s="553">
        <f t="shared" si="28"/>
        <v>0</v>
      </c>
      <c r="E164" s="614">
        <f t="shared" si="28"/>
        <v>0</v>
      </c>
      <c r="F164" s="615">
        <f t="shared" si="28"/>
        <v>0</v>
      </c>
      <c r="G164" s="553">
        <f t="shared" si="28"/>
        <v>0</v>
      </c>
      <c r="H164" s="616">
        <f t="shared" si="28"/>
        <v>0</v>
      </c>
      <c r="I164" s="615">
        <f t="shared" si="28"/>
        <v>0</v>
      </c>
      <c r="J164" s="553">
        <f t="shared" si="28"/>
        <v>0</v>
      </c>
      <c r="K164" s="614">
        <f t="shared" si="28"/>
        <v>0</v>
      </c>
    </row>
    <row r="165" spans="1:23" ht="13.15" customHeight="1" x14ac:dyDescent="0.25">
      <c r="A165" s="361" t="s">
        <v>1056</v>
      </c>
      <c r="B165" s="378"/>
      <c r="C165" s="609">
        <f>SD7a!C165+SD7b!C165++SD7e!C165</f>
        <v>0</v>
      </c>
      <c r="D165" s="498">
        <f>SD7a!D165+SD7b!D165++SD7e!D165</f>
        <v>0</v>
      </c>
      <c r="E165" s="499">
        <f>SD7a!E165+SD7b!E165++SD7e!E165</f>
        <v>0</v>
      </c>
      <c r="F165" s="500">
        <f>SD7a!F165+SD7b!F165++SD7e!F165</f>
        <v>0</v>
      </c>
      <c r="G165" s="498">
        <f>SD7a!G165+SD7b!G165++SD7e!G165</f>
        <v>0</v>
      </c>
      <c r="H165" s="501">
        <f>SD7a!H165+SD7b!H165++SD7e!H165</f>
        <v>0</v>
      </c>
      <c r="I165" s="500">
        <f>SD7a!I165+SD7b!I165++SD7e!I165</f>
        <v>0</v>
      </c>
      <c r="J165" s="498">
        <f>SD7a!J165+SD7b!J165++SD7e!J165</f>
        <v>0</v>
      </c>
      <c r="K165" s="501">
        <f>SD7a!K165+SD7b!K165++SD7e!K165</f>
        <v>0</v>
      </c>
    </row>
    <row r="166" spans="1:23" ht="5.0999999999999996" customHeight="1" x14ac:dyDescent="0.25">
      <c r="A166" s="381"/>
      <c r="B166" s="378"/>
      <c r="C166" s="27"/>
      <c r="D166" s="27"/>
      <c r="E166" s="382"/>
      <c r="F166" s="383"/>
      <c r="G166" s="27"/>
      <c r="H166" s="26"/>
      <c r="I166" s="383"/>
      <c r="J166" s="27"/>
      <c r="K166" s="382"/>
    </row>
    <row r="167" spans="1:23" ht="12.75" customHeight="1" x14ac:dyDescent="0.25">
      <c r="A167" s="32" t="s">
        <v>903</v>
      </c>
      <c r="B167" s="543">
        <v>1</v>
      </c>
      <c r="C167" s="547">
        <f>C6+C74+C103+C110+C118+C136+C139+C149+C152+C155+C158+C161+C164</f>
        <v>61968</v>
      </c>
      <c r="D167" s="548">
        <f t="shared" ref="D167:K167" si="29">D6+D74+D103+D110+D118+D136+D139+D149+D152+D155+D158+D161+D164</f>
        <v>2000</v>
      </c>
      <c r="E167" s="549">
        <f t="shared" si="29"/>
        <v>2000</v>
      </c>
      <c r="F167" s="547">
        <f t="shared" si="29"/>
        <v>235000</v>
      </c>
      <c r="G167" s="548">
        <f t="shared" si="29"/>
        <v>0</v>
      </c>
      <c r="H167" s="549">
        <f t="shared" si="29"/>
        <v>235000</v>
      </c>
      <c r="I167" s="547">
        <f t="shared" si="29"/>
        <v>235000</v>
      </c>
      <c r="J167" s="548">
        <f t="shared" si="29"/>
        <v>235000</v>
      </c>
      <c r="K167" s="549">
        <f t="shared" si="29"/>
        <v>235000</v>
      </c>
      <c r="M167" s="39"/>
      <c r="N167" s="39"/>
      <c r="O167" s="39"/>
      <c r="P167" s="39"/>
      <c r="Q167" s="39"/>
      <c r="R167" s="39"/>
      <c r="S167" s="39"/>
      <c r="T167" s="39"/>
      <c r="U167" s="39"/>
      <c r="V167" s="39"/>
      <c r="W167" s="39"/>
    </row>
    <row r="168" spans="1:23" ht="12.75" customHeight="1" x14ac:dyDescent="0.25">
      <c r="A168" s="38"/>
      <c r="B168" s="544"/>
      <c r="C168" s="367"/>
      <c r="D168" s="367"/>
      <c r="E168" s="367"/>
      <c r="F168" s="367"/>
      <c r="G168" s="367"/>
      <c r="H168" s="367"/>
      <c r="I168" s="367"/>
      <c r="J168" s="367"/>
      <c r="K168" s="367"/>
      <c r="M168" s="39"/>
      <c r="N168" s="39"/>
      <c r="O168" s="39"/>
      <c r="P168" s="39"/>
      <c r="Q168" s="39"/>
      <c r="R168" s="39"/>
      <c r="S168" s="39"/>
      <c r="T168" s="39"/>
      <c r="U168" s="39"/>
      <c r="V168" s="39"/>
      <c r="W168" s="39"/>
    </row>
    <row r="169" spans="1:23" ht="12.75" customHeight="1" x14ac:dyDescent="0.25">
      <c r="A169" s="387" t="s">
        <v>40</v>
      </c>
      <c r="B169" s="610"/>
      <c r="C169" s="611"/>
      <c r="D169" s="612"/>
      <c r="E169" s="613"/>
      <c r="F169" s="611"/>
      <c r="G169" s="612"/>
      <c r="H169" s="613"/>
      <c r="I169" s="611"/>
      <c r="J169" s="612"/>
      <c r="K169" s="613"/>
      <c r="L169" s="518"/>
      <c r="M169" s="518"/>
      <c r="N169" s="518"/>
    </row>
    <row r="170" spans="1:23" ht="12.75" customHeight="1" x14ac:dyDescent="0.25">
      <c r="A170" s="373" t="s">
        <v>24</v>
      </c>
      <c r="B170" s="114"/>
      <c r="C170" s="609">
        <f>SD7a!C170+SD7b!C170++SD7e!C170</f>
        <v>0</v>
      </c>
      <c r="D170" s="498">
        <f>SD7a!D170+SD7b!D170++SD7e!D170</f>
        <v>0</v>
      </c>
      <c r="E170" s="499">
        <f>SD7a!E170+SD7b!E170++SD7e!E170</f>
        <v>0</v>
      </c>
      <c r="F170" s="500">
        <f>SD7a!F170+SD7b!F170++SD7e!F170</f>
        <v>0</v>
      </c>
      <c r="G170" s="498">
        <f>SD7a!G170+SD7b!G170++SD7e!G170</f>
        <v>0</v>
      </c>
      <c r="H170" s="501">
        <f>SD7a!H170+SD7b!H170++SD7e!H170</f>
        <v>0</v>
      </c>
      <c r="I170" s="500">
        <f>SD7a!I170+SD7b!I170++SD7e!I170</f>
        <v>0</v>
      </c>
      <c r="J170" s="498">
        <f>SD7a!J170+SD7b!J170++SD7e!J170</f>
        <v>0</v>
      </c>
      <c r="K170" s="501">
        <f>SD7a!K170+SD7b!K170++SD7e!K170</f>
        <v>0</v>
      </c>
    </row>
    <row r="171" spans="1:23" ht="12.75" customHeight="1" x14ac:dyDescent="0.25">
      <c r="A171" s="373" t="s">
        <v>143</v>
      </c>
      <c r="B171" s="114"/>
      <c r="C171" s="609">
        <f>SD7a!C171+SD7b!C171++SD7e!C171</f>
        <v>0</v>
      </c>
      <c r="D171" s="498">
        <f>SD7a!D171+SD7b!D171++SD7e!D171</f>
        <v>0</v>
      </c>
      <c r="E171" s="499">
        <f>SD7a!E171+SD7b!E171++SD7e!E171</f>
        <v>0</v>
      </c>
      <c r="F171" s="500">
        <f>SD7a!F171+SD7b!F171++SD7e!F171</f>
        <v>0</v>
      </c>
      <c r="G171" s="498">
        <f>SD7a!G171+SD7b!G171++SD7e!G171</f>
        <v>0</v>
      </c>
      <c r="H171" s="501">
        <f>SD7a!H171+SD7b!H171++SD7e!H171</f>
        <v>0</v>
      </c>
      <c r="I171" s="500">
        <f>SD7a!I171+SD7b!I171++SD7e!I171</f>
        <v>0</v>
      </c>
      <c r="J171" s="498">
        <f>SD7a!J171+SD7b!J171++SD7e!J171</f>
        <v>0</v>
      </c>
      <c r="K171" s="501">
        <f>SD7a!K171+SD7b!K171++SD7e!K171</f>
        <v>0</v>
      </c>
    </row>
    <row r="172" spans="1:23" ht="12.75" customHeight="1" x14ac:dyDescent="0.25">
      <c r="A172" s="373" t="s">
        <v>309</v>
      </c>
      <c r="B172" s="114"/>
      <c r="C172" s="609">
        <f>SD7a!C172+SD7b!C172++SD7e!C172</f>
        <v>0</v>
      </c>
      <c r="D172" s="498">
        <f>SD7a!D172+SD7b!D172++SD7e!D172</f>
        <v>0</v>
      </c>
      <c r="E172" s="499">
        <f>SD7a!E172+SD7b!E172++SD7e!E172</f>
        <v>0</v>
      </c>
      <c r="F172" s="500">
        <f>SD7a!F172+SD7b!F172++SD7e!F172</f>
        <v>0</v>
      </c>
      <c r="G172" s="498">
        <f>SD7a!G172+SD7b!G172++SD7e!G172</f>
        <v>0</v>
      </c>
      <c r="H172" s="501">
        <f>SD7a!H172+SD7b!H172++SD7e!H172</f>
        <v>0</v>
      </c>
      <c r="I172" s="500">
        <f>SD7a!I172+SD7b!I172++SD7e!I172</f>
        <v>0</v>
      </c>
      <c r="J172" s="498">
        <f>SD7a!J172+SD7b!J172++SD7e!J172</f>
        <v>0</v>
      </c>
      <c r="K172" s="501">
        <f>SD7a!K172+SD7b!K172++SD7e!K172</f>
        <v>0</v>
      </c>
    </row>
    <row r="173" spans="1:23" ht="12.75" customHeight="1" x14ac:dyDescent="0.25">
      <c r="A173" s="373" t="s">
        <v>144</v>
      </c>
      <c r="B173" s="114"/>
      <c r="C173" s="609">
        <f>SD7a!C173+SD7b!C173++SD7e!C173</f>
        <v>0</v>
      </c>
      <c r="D173" s="498">
        <f>SD7a!D173+SD7b!D173++SD7e!D173</f>
        <v>0</v>
      </c>
      <c r="E173" s="499">
        <f>SD7a!E173+SD7b!E173++SD7e!E173</f>
        <v>0</v>
      </c>
      <c r="F173" s="500">
        <f>SD7a!F173+SD7b!F173++SD7e!F173</f>
        <v>0</v>
      </c>
      <c r="G173" s="498">
        <f>SD7a!G173+SD7b!G173++SD7e!G173</f>
        <v>0</v>
      </c>
      <c r="H173" s="501">
        <f>SD7a!H173+SD7b!H173++SD7e!H173</f>
        <v>0</v>
      </c>
      <c r="I173" s="500">
        <f>SD7a!I173+SD7b!I173++SD7e!I173</f>
        <v>0</v>
      </c>
      <c r="J173" s="498">
        <f>SD7a!J173+SD7b!J173++SD7e!J173</f>
        <v>0</v>
      </c>
      <c r="K173" s="501">
        <f>SD7a!K173+SD7b!K173++SD7e!K173</f>
        <v>0</v>
      </c>
    </row>
    <row r="174" spans="1:23" ht="12.75" customHeight="1" x14ac:dyDescent="0.25">
      <c r="A174" s="344" t="s">
        <v>441</v>
      </c>
      <c r="B174" s="374"/>
      <c r="C174" s="519">
        <f>SUM(C170:C173)</f>
        <v>0</v>
      </c>
      <c r="D174" s="366">
        <f t="shared" ref="D174:K174" si="30">SUM(D170:D173)</f>
        <v>0</v>
      </c>
      <c r="E174" s="371">
        <f t="shared" si="30"/>
        <v>0</v>
      </c>
      <c r="F174" s="519">
        <f t="shared" si="30"/>
        <v>0</v>
      </c>
      <c r="G174" s="366">
        <f t="shared" si="30"/>
        <v>0</v>
      </c>
      <c r="H174" s="371">
        <f t="shared" si="30"/>
        <v>0</v>
      </c>
      <c r="I174" s="519">
        <f t="shared" si="30"/>
        <v>0</v>
      </c>
      <c r="J174" s="366">
        <f t="shared" si="30"/>
        <v>0</v>
      </c>
      <c r="K174" s="371">
        <f t="shared" si="30"/>
        <v>0</v>
      </c>
      <c r="L174" s="39"/>
      <c r="M174" s="39"/>
      <c r="N174" s="39"/>
      <c r="O174" s="39"/>
      <c r="P174" s="39"/>
      <c r="Q174" s="39"/>
      <c r="R174" s="39"/>
      <c r="S174" s="39"/>
      <c r="T174" s="39"/>
      <c r="U174" s="39"/>
      <c r="V174" s="39"/>
      <c r="W174" s="39"/>
    </row>
    <row r="175" spans="1:23" ht="12.75" customHeight="1" x14ac:dyDescent="0.25">
      <c r="A175" s="375" t="s">
        <v>44</v>
      </c>
      <c r="B175" s="114">
        <v>6</v>
      </c>
      <c r="C175" s="609">
        <f>SD7a!C175+SD7b!C175++SD7e!C175</f>
        <v>0</v>
      </c>
      <c r="D175" s="498">
        <f>SD7a!D175+SD7b!D175++SD7e!D175</f>
        <v>0</v>
      </c>
      <c r="E175" s="499">
        <f>SD7a!E175+SD7b!E175++SD7e!E175</f>
        <v>0</v>
      </c>
      <c r="F175" s="500">
        <f>SD7a!F175+SD7b!F175++SD7e!F175</f>
        <v>0</v>
      </c>
      <c r="G175" s="498">
        <f>SD7a!G175+SD7b!G175++SD7e!G175</f>
        <v>0</v>
      </c>
      <c r="H175" s="501">
        <f>SD7a!H175+SD7b!H175++SD7e!H175</f>
        <v>0</v>
      </c>
      <c r="I175" s="500">
        <f>SD7a!I175+SD7b!I175++SD7e!I175</f>
        <v>0</v>
      </c>
      <c r="J175" s="498">
        <f>SD7a!J175+SD7b!J175++SD7e!J175</f>
        <v>0</v>
      </c>
      <c r="K175" s="501">
        <f>SD7a!K175+SD7b!K175++SD7e!K175</f>
        <v>0</v>
      </c>
    </row>
    <row r="176" spans="1:23" ht="12.75" customHeight="1" x14ac:dyDescent="0.25">
      <c r="A176" s="375" t="s">
        <v>299</v>
      </c>
      <c r="B176" s="114">
        <v>3</v>
      </c>
      <c r="C176" s="609">
        <f>SD7a!C176+SD7b!C176++SD7e!C176</f>
        <v>0</v>
      </c>
      <c r="D176" s="498">
        <f>SD7a!D176+SD7b!D176++SD7e!D176</f>
        <v>0</v>
      </c>
      <c r="E176" s="499">
        <f>SD7a!E176+SD7b!E176++SD7e!E176</f>
        <v>0</v>
      </c>
      <c r="F176" s="500">
        <f>SD7a!F176+SD7b!F176++SD7e!F176</f>
        <v>0</v>
      </c>
      <c r="G176" s="498">
        <f>SD7a!G176+SD7b!G176++SD7e!G176</f>
        <v>0</v>
      </c>
      <c r="H176" s="501">
        <f>SD7a!H176+SD7b!H176++SD7e!H176</f>
        <v>0</v>
      </c>
      <c r="I176" s="500">
        <f>SD7a!I176+SD7b!I176++SD7e!I176</f>
        <v>0</v>
      </c>
      <c r="J176" s="498">
        <f>SD7a!J176+SD7b!J176++SD7e!J176</f>
        <v>0</v>
      </c>
      <c r="K176" s="501">
        <f>SD7a!K176+SD7b!K176++SD7e!K176</f>
        <v>0</v>
      </c>
    </row>
    <row r="177" spans="1:12" ht="12.75" customHeight="1" x14ac:dyDescent="0.25">
      <c r="A177" s="375" t="s">
        <v>41</v>
      </c>
      <c r="B177" s="114"/>
      <c r="C177" s="609">
        <f>SD7a!C177+SD7b!C177++SD7e!C177</f>
        <v>0</v>
      </c>
      <c r="D177" s="498">
        <f>SD7a!D177+SD7b!D177++SD7e!D177</f>
        <v>0</v>
      </c>
      <c r="E177" s="499">
        <f>SD7a!E177+SD7b!E177++SD7e!E177</f>
        <v>0</v>
      </c>
      <c r="F177" s="500">
        <f>SD7a!F177+SD7b!F177++SD7e!F177</f>
        <v>0</v>
      </c>
      <c r="G177" s="498">
        <f>SD7a!G177+SD7b!G177++SD7e!G177</f>
        <v>0</v>
      </c>
      <c r="H177" s="501">
        <f>SD7a!H177+SD7b!H177++SD7e!H177</f>
        <v>0</v>
      </c>
      <c r="I177" s="500">
        <f>SD7a!I177+SD7b!I177++SD7e!I177</f>
        <v>0</v>
      </c>
      <c r="J177" s="498">
        <f>SD7a!J177+SD7b!J177++SD7e!J177</f>
        <v>0</v>
      </c>
      <c r="K177" s="501">
        <f>SD7a!K177+SD7b!K177++SD7e!K177</f>
        <v>0</v>
      </c>
    </row>
    <row r="178" spans="1:12" ht="12.75" customHeight="1" x14ac:dyDescent="0.25">
      <c r="A178" s="32" t="s">
        <v>382</v>
      </c>
      <c r="B178" s="134">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2" ht="12.75" customHeight="1" x14ac:dyDescent="0.25">
      <c r="A179" s="35" t="s">
        <v>185</v>
      </c>
      <c r="B179" s="36"/>
      <c r="C179" s="39"/>
      <c r="D179" s="39"/>
      <c r="E179" s="39"/>
      <c r="F179" s="39"/>
      <c r="G179" s="39"/>
      <c r="H179" s="39"/>
      <c r="I179" s="39"/>
      <c r="J179" s="39"/>
      <c r="K179" s="39"/>
    </row>
    <row r="180" spans="1:12" ht="12.75" customHeight="1" x14ac:dyDescent="0.25">
      <c r="A180" s="472" t="s">
        <v>593</v>
      </c>
      <c r="B180" s="36"/>
      <c r="C180" s="38"/>
      <c r="D180" s="38"/>
      <c r="E180" s="39"/>
      <c r="F180" s="39"/>
      <c r="G180" s="39"/>
      <c r="H180" s="39"/>
      <c r="I180" s="39"/>
      <c r="J180" s="39"/>
      <c r="K180" s="39"/>
    </row>
    <row r="181" spans="1:12" ht="12.75" customHeight="1" x14ac:dyDescent="0.25">
      <c r="A181" s="625" t="s">
        <v>594</v>
      </c>
      <c r="B181" s="625"/>
      <c r="C181" s="625"/>
      <c r="D181" s="625"/>
      <c r="E181" s="625"/>
      <c r="F181" s="625"/>
      <c r="G181" s="625"/>
      <c r="H181" s="625"/>
      <c r="I181" s="625"/>
      <c r="J181" s="625"/>
      <c r="K181" s="625"/>
      <c r="L181" s="625"/>
    </row>
    <row r="182" spans="1:12" ht="12.75" customHeight="1" x14ac:dyDescent="0.25">
      <c r="A182" s="472" t="s">
        <v>595</v>
      </c>
      <c r="B182" s="120"/>
      <c r="C182" s="120"/>
      <c r="D182" s="120"/>
      <c r="E182" s="120"/>
      <c r="F182" s="120"/>
      <c r="G182" s="120"/>
      <c r="H182" s="120"/>
      <c r="I182" s="120"/>
      <c r="J182" s="120"/>
      <c r="K182" s="120"/>
    </row>
    <row r="183" spans="1:12" ht="12.75" customHeight="1" x14ac:dyDescent="0.25">
      <c r="A183" s="472" t="s">
        <v>596</v>
      </c>
      <c r="B183" s="120"/>
      <c r="C183" s="120"/>
      <c r="D183" s="120"/>
      <c r="E183" s="120"/>
      <c r="F183" s="120"/>
      <c r="G183" s="120"/>
      <c r="H183" s="120"/>
      <c r="I183" s="120"/>
      <c r="J183" s="120"/>
      <c r="K183" s="120"/>
    </row>
    <row r="184" spans="1:12" ht="12.75" customHeight="1" x14ac:dyDescent="0.25">
      <c r="A184" s="47" t="s">
        <v>223</v>
      </c>
      <c r="B184" s="36"/>
      <c r="C184" s="38"/>
      <c r="D184" s="38"/>
      <c r="E184" s="39"/>
      <c r="F184" s="39"/>
      <c r="G184" s="39"/>
      <c r="H184" s="39"/>
      <c r="I184" s="39"/>
      <c r="J184" s="39"/>
      <c r="K184" s="39"/>
    </row>
    <row r="185" spans="1:12" ht="12.75" customHeight="1" x14ac:dyDescent="0.25">
      <c r="B185" s="36"/>
      <c r="C185" s="38"/>
      <c r="D185" s="38"/>
      <c r="E185" s="39"/>
      <c r="F185" s="39"/>
      <c r="G185" s="39"/>
      <c r="H185" s="39"/>
      <c r="I185" s="39"/>
      <c r="J185" s="39"/>
      <c r="K185" s="39"/>
    </row>
    <row r="186" spans="1:12" ht="12.75" customHeight="1" x14ac:dyDescent="0.25">
      <c r="A186" s="47"/>
      <c r="B186" s="36"/>
      <c r="C186" s="38"/>
      <c r="D186" s="38"/>
      <c r="E186" s="39"/>
      <c r="F186" s="39"/>
      <c r="G186" s="39"/>
      <c r="H186" s="39"/>
      <c r="I186" s="39"/>
      <c r="J186" s="39"/>
      <c r="K186" s="39"/>
    </row>
    <row r="187" spans="1:12" ht="11.25" customHeight="1" x14ac:dyDescent="0.25">
      <c r="A187" s="41" t="s">
        <v>142</v>
      </c>
      <c r="B187" s="40"/>
      <c r="C187" s="50">
        <f>C167-(SD7a!C167+SD7b!C167++SD7e!C167)</f>
        <v>0</v>
      </c>
      <c r="D187" s="50">
        <f>D167-(SD7a!D167+SD7b!D167++SD7e!D167)</f>
        <v>0</v>
      </c>
      <c r="E187" s="50">
        <f>E167-(SD7a!E167+SD7b!E167++SD7e!E167)</f>
        <v>0</v>
      </c>
      <c r="F187" s="50">
        <f>F167-(SD7a!F167+SD7b!F167++SD7e!F167)</f>
        <v>0</v>
      </c>
      <c r="G187" s="50">
        <f>G167-(SD7a!G167+SD7b!G167++SD7e!G167)</f>
        <v>0</v>
      </c>
      <c r="H187" s="50">
        <f>H167-(SD7a!H167+SD7b!H167++SD7e!H167)</f>
        <v>0</v>
      </c>
      <c r="I187" s="50">
        <f>I167-(SD7a!I167+SD7b!I167++SD7e!I167)</f>
        <v>0</v>
      </c>
      <c r="J187" s="50">
        <f>J167-(SD7a!J167+SD7b!J167++SD7e!J167)</f>
        <v>0</v>
      </c>
      <c r="K187" s="50">
        <f>K167-(SD7a!K167+SD7b!K167++SD7e!K167)</f>
        <v>0</v>
      </c>
    </row>
    <row r="188" spans="1:12" ht="11.25" customHeight="1" x14ac:dyDescent="0.25">
      <c r="A188" s="42"/>
    </row>
    <row r="189" spans="1:12" ht="11.25" customHeight="1" x14ac:dyDescent="0.25"/>
    <row r="190" spans="1:12" ht="11.25" customHeight="1" x14ac:dyDescent="0.25"/>
    <row r="191" spans="1:12" ht="11.25" customHeight="1" x14ac:dyDescent="0.25"/>
    <row r="192" spans="1:1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row r="218" ht="11.25" customHeight="1" x14ac:dyDescent="0.25"/>
    <row r="219" ht="11.25" customHeight="1" x14ac:dyDescent="0.25"/>
    <row r="220" ht="11.25" customHeight="1" x14ac:dyDescent="0.25"/>
    <row r="221" ht="11.25" customHeight="1" x14ac:dyDescent="0.25"/>
    <row r="222" ht="11.25" customHeight="1" x14ac:dyDescent="0.25"/>
  </sheetData>
  <sheetProtection password="A35B" sheet="1" objects="1" scenarios="1"/>
  <mergeCells count="2">
    <mergeCell ref="F2:H2"/>
    <mergeCell ref="A181:L181"/>
  </mergeCells>
  <phoneticPr fontId="2" type="noConversion"/>
  <printOptions horizontalCentered="1"/>
  <pageMargins left="0.35433070866141736" right="0.15748031496062992" top="0.78740157480314965" bottom="0.59055118110236227" header="0.51181102362204722" footer="0.39370078740157483"/>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tabColor indexed="44"/>
    <pageSetUpPr fitToPage="1"/>
  </sheetPr>
  <dimension ref="A1:W88"/>
  <sheetViews>
    <sheetView showGridLines="0" zoomScaleNormal="100" workbookViewId="0">
      <pane xSplit="2" ySplit="3" topLeftCell="C25" activePane="bottomRight" state="frozen"/>
      <selection activeCell="M29" sqref="M29"/>
      <selection pane="topRight" activeCell="M29" sqref="M29"/>
      <selection pane="bottomLeft" activeCell="M29" sqref="M29"/>
      <selection pane="bottomRight" activeCell="K33" sqref="K33"/>
    </sheetView>
  </sheetViews>
  <sheetFormatPr defaultRowHeight="12.75" x14ac:dyDescent="0.25"/>
  <cols>
    <col min="1" max="1" width="30.7109375" style="20" customWidth="1"/>
    <col min="2" max="2" width="3.140625" style="43" customWidth="1"/>
    <col min="3" max="11" width="8.7109375" style="20" customWidth="1"/>
    <col min="12" max="12" width="10.42578125" style="20" bestFit="1"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23" ht="13.5" x14ac:dyDescent="0.25">
      <c r="A1" s="112" t="str">
        <f>_MEB3</f>
        <v>GREATER TZANEEN ECONOMIC DEVELOPMENT AGENCY - Table D4 Budgeted Financial Position</v>
      </c>
    </row>
    <row r="2" spans="1:23" s="473" customFormat="1" ht="27" customHeight="1" x14ac:dyDescent="0.25">
      <c r="A2" s="456" t="str">
        <f>desc</f>
        <v>Description</v>
      </c>
      <c r="B2" s="464" t="str">
        <f>head27</f>
        <v>Ref</v>
      </c>
      <c r="C2" s="108" t="str">
        <f>head1b</f>
        <v>2014/15</v>
      </c>
      <c r="D2" s="21" t="str">
        <f>head1A</f>
        <v>2015/16</v>
      </c>
      <c r="E2" s="102" t="str">
        <f>Head1</f>
        <v>2016/17</v>
      </c>
      <c r="F2" s="622" t="str">
        <f>Head2</f>
        <v>Current Year 2017/18</v>
      </c>
      <c r="G2" s="626"/>
      <c r="H2" s="627"/>
      <c r="I2" s="131" t="str">
        <f>Head3a</f>
        <v>Medium Term Revenue and Expenditure Framework</v>
      </c>
      <c r="J2" s="129"/>
      <c r="K2" s="130"/>
    </row>
    <row r="3" spans="1:23" s="473" customFormat="1" ht="27" customHeight="1" x14ac:dyDescent="0.25">
      <c r="A3" s="468" t="s">
        <v>206</v>
      </c>
      <c r="B3" s="465"/>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2018/19</v>
      </c>
      <c r="J3" s="127" t="str">
        <f>Head10</f>
        <v>Budget Year +1 2019/20</v>
      </c>
      <c r="K3" s="455" t="str">
        <f>Head11</f>
        <v>Budget Year +2 2020/21</v>
      </c>
    </row>
    <row r="4" spans="1:23" ht="12.75" customHeight="1" x14ac:dyDescent="0.25">
      <c r="A4" s="55" t="s">
        <v>94</v>
      </c>
      <c r="B4" s="114"/>
      <c r="C4" s="28"/>
      <c r="D4" s="27"/>
      <c r="E4" s="105"/>
      <c r="F4" s="28"/>
      <c r="G4" s="27"/>
      <c r="H4" s="105"/>
      <c r="I4" s="28"/>
      <c r="J4" s="27"/>
      <c r="K4" s="105"/>
    </row>
    <row r="5" spans="1:23" ht="12.75" customHeight="1" x14ac:dyDescent="0.25">
      <c r="A5" s="55" t="s">
        <v>95</v>
      </c>
      <c r="B5" s="114"/>
      <c r="C5" s="28"/>
      <c r="D5" s="27"/>
      <c r="E5" s="105"/>
      <c r="F5" s="28"/>
      <c r="G5" s="27"/>
      <c r="H5" s="105"/>
      <c r="I5" s="28"/>
      <c r="J5" s="27"/>
      <c r="K5" s="105"/>
    </row>
    <row r="6" spans="1:23" ht="12.75" customHeight="1" x14ac:dyDescent="0.25">
      <c r="A6" s="24" t="s">
        <v>303</v>
      </c>
      <c r="B6" s="114"/>
      <c r="C6" s="272">
        <f>431000</f>
        <v>431000</v>
      </c>
      <c r="D6" s="270">
        <v>1145000</v>
      </c>
      <c r="E6" s="271">
        <v>407000</v>
      </c>
      <c r="F6" s="272">
        <v>236234</v>
      </c>
      <c r="G6" s="270">
        <v>0</v>
      </c>
      <c r="H6" s="271">
        <v>236234</v>
      </c>
      <c r="I6" s="272">
        <v>711357</v>
      </c>
      <c r="J6" s="270">
        <v>711357</v>
      </c>
      <c r="K6" s="271">
        <v>711357</v>
      </c>
    </row>
    <row r="7" spans="1:23" ht="12.75" customHeight="1" x14ac:dyDescent="0.25">
      <c r="A7" s="24" t="s">
        <v>141</v>
      </c>
      <c r="B7" s="114"/>
      <c r="C7" s="272"/>
      <c r="D7" s="270"/>
      <c r="E7" s="271"/>
      <c r="F7" s="272"/>
      <c r="G7" s="270"/>
      <c r="H7" s="271"/>
      <c r="I7" s="272"/>
      <c r="J7" s="270"/>
      <c r="K7" s="271"/>
    </row>
    <row r="8" spans="1:23" ht="12.75" customHeight="1" x14ac:dyDescent="0.25">
      <c r="A8" s="24" t="s">
        <v>139</v>
      </c>
      <c r="B8" s="114"/>
      <c r="C8" s="272"/>
      <c r="D8" s="270"/>
      <c r="E8" s="271"/>
      <c r="F8" s="272"/>
      <c r="G8" s="270"/>
      <c r="H8" s="271"/>
      <c r="I8" s="272"/>
      <c r="J8" s="270"/>
      <c r="K8" s="271"/>
    </row>
    <row r="9" spans="1:23" ht="12.75" customHeight="1" x14ac:dyDescent="0.25">
      <c r="A9" s="24" t="s">
        <v>140</v>
      </c>
      <c r="B9" s="114"/>
      <c r="C9" s="272"/>
      <c r="D9" s="270"/>
      <c r="E9" s="271"/>
      <c r="F9" s="272"/>
      <c r="G9" s="270"/>
      <c r="H9" s="271"/>
      <c r="I9" s="272"/>
      <c r="J9" s="270"/>
      <c r="K9" s="271"/>
    </row>
    <row r="10" spans="1:23" ht="12.75" customHeight="1" x14ac:dyDescent="0.25">
      <c r="A10" s="24" t="s">
        <v>304</v>
      </c>
      <c r="B10" s="114"/>
      <c r="C10" s="272"/>
      <c r="D10" s="270"/>
      <c r="E10" s="271"/>
      <c r="F10" s="272"/>
      <c r="G10" s="270"/>
      <c r="H10" s="271"/>
      <c r="I10" s="272"/>
      <c r="J10" s="270"/>
      <c r="K10" s="271"/>
    </row>
    <row r="11" spans="1:23" ht="12.75" customHeight="1" x14ac:dyDescent="0.25">
      <c r="A11" s="24" t="s">
        <v>138</v>
      </c>
      <c r="B11" s="114"/>
      <c r="C11" s="272"/>
      <c r="D11" s="270"/>
      <c r="E11" s="271"/>
      <c r="F11" s="272"/>
      <c r="G11" s="270"/>
      <c r="H11" s="271"/>
      <c r="I11" s="272"/>
      <c r="J11" s="270"/>
      <c r="K11" s="271"/>
    </row>
    <row r="12" spans="1:23" ht="12.75" customHeight="1" x14ac:dyDescent="0.25">
      <c r="A12" s="59" t="s">
        <v>169</v>
      </c>
      <c r="B12" s="132"/>
      <c r="C12" s="45">
        <f>SUM(C6:C11)</f>
        <v>431000</v>
      </c>
      <c r="D12" s="44">
        <f>SUM(D6:D11)</f>
        <v>1145000</v>
      </c>
      <c r="E12" s="106">
        <f>SUM(E6:E11)</f>
        <v>407000</v>
      </c>
      <c r="F12" s="45">
        <f t="shared" ref="F12:K12" si="0">SUM(F6:F11)</f>
        <v>236234</v>
      </c>
      <c r="G12" s="44">
        <f t="shared" si="0"/>
        <v>0</v>
      </c>
      <c r="H12" s="106">
        <f t="shared" si="0"/>
        <v>236234</v>
      </c>
      <c r="I12" s="45">
        <f t="shared" si="0"/>
        <v>711357</v>
      </c>
      <c r="J12" s="44">
        <f t="shared" si="0"/>
        <v>711357</v>
      </c>
      <c r="K12" s="106">
        <f t="shared" si="0"/>
        <v>711357</v>
      </c>
      <c r="L12" s="39"/>
      <c r="M12" s="39"/>
      <c r="N12" s="39"/>
      <c r="O12" s="39"/>
      <c r="P12" s="39"/>
      <c r="Q12" s="39"/>
      <c r="R12" s="39"/>
      <c r="S12" s="39"/>
      <c r="T12" s="39"/>
      <c r="U12" s="39"/>
      <c r="V12" s="39"/>
      <c r="W12" s="39"/>
    </row>
    <row r="13" spans="1:23" ht="5.0999999999999996" customHeight="1" x14ac:dyDescent="0.25">
      <c r="A13" s="25"/>
      <c r="B13" s="114"/>
      <c r="C13" s="28"/>
      <c r="D13" s="27"/>
      <c r="E13" s="105"/>
      <c r="F13" s="28"/>
      <c r="G13" s="27"/>
      <c r="H13" s="105"/>
      <c r="I13" s="28"/>
      <c r="J13" s="27"/>
      <c r="K13" s="105"/>
    </row>
    <row r="14" spans="1:23" ht="12.75" customHeight="1" x14ac:dyDescent="0.25">
      <c r="A14" s="55" t="s">
        <v>28</v>
      </c>
      <c r="B14" s="114"/>
      <c r="C14" s="28"/>
      <c r="D14" s="27"/>
      <c r="E14" s="105"/>
      <c r="F14" s="28"/>
      <c r="G14" s="27"/>
      <c r="H14" s="105"/>
      <c r="I14" s="28"/>
      <c r="J14" s="27"/>
      <c r="K14" s="105"/>
    </row>
    <row r="15" spans="1:23" ht="12.75" customHeight="1" x14ac:dyDescent="0.25">
      <c r="A15" s="24" t="s">
        <v>137</v>
      </c>
      <c r="B15" s="114">
        <v>3</v>
      </c>
      <c r="C15" s="272"/>
      <c r="D15" s="270"/>
      <c r="E15" s="271"/>
      <c r="F15" s="272"/>
      <c r="G15" s="270"/>
      <c r="H15" s="271"/>
      <c r="I15" s="272"/>
      <c r="J15" s="270"/>
      <c r="K15" s="271"/>
    </row>
    <row r="16" spans="1:23" ht="12.75" customHeight="1" x14ac:dyDescent="0.25">
      <c r="A16" s="24" t="s">
        <v>96</v>
      </c>
      <c r="B16" s="114"/>
      <c r="C16" s="272"/>
      <c r="D16" s="270"/>
      <c r="E16" s="271"/>
      <c r="F16" s="272"/>
      <c r="G16" s="270"/>
      <c r="H16" s="271"/>
      <c r="I16" s="272"/>
      <c r="J16" s="270"/>
      <c r="K16" s="271"/>
    </row>
    <row r="17" spans="1:23" ht="12.75" customHeight="1" x14ac:dyDescent="0.25">
      <c r="A17" s="24" t="s">
        <v>136</v>
      </c>
      <c r="B17" s="114"/>
      <c r="C17" s="272"/>
      <c r="D17" s="270"/>
      <c r="E17" s="271"/>
      <c r="F17" s="272"/>
      <c r="G17" s="270"/>
      <c r="H17" s="271"/>
      <c r="I17" s="272"/>
      <c r="J17" s="270"/>
      <c r="K17" s="271"/>
    </row>
    <row r="18" spans="1:23" s="518" customFormat="1" ht="12.75" customHeight="1" x14ac:dyDescent="0.25">
      <c r="A18" s="54" t="s">
        <v>899</v>
      </c>
      <c r="B18" s="115"/>
      <c r="C18" s="272"/>
      <c r="D18" s="270"/>
      <c r="E18" s="271"/>
      <c r="F18" s="272"/>
      <c r="G18" s="270"/>
      <c r="H18" s="271"/>
      <c r="I18" s="272"/>
      <c r="J18" s="270"/>
      <c r="K18" s="271"/>
    </row>
    <row r="19" spans="1:23" ht="12.75" customHeight="1" x14ac:dyDescent="0.25">
      <c r="A19" s="24" t="s">
        <v>135</v>
      </c>
      <c r="B19" s="114">
        <v>1</v>
      </c>
      <c r="C19" s="272">
        <v>100000</v>
      </c>
      <c r="D19" s="270">
        <v>65000</v>
      </c>
      <c r="E19" s="271">
        <v>65460</v>
      </c>
      <c r="F19" s="272">
        <v>235000</v>
      </c>
      <c r="G19" s="270">
        <v>0</v>
      </c>
      <c r="H19" s="271">
        <v>235000</v>
      </c>
      <c r="I19" s="272">
        <v>235000</v>
      </c>
      <c r="J19" s="270">
        <v>235000</v>
      </c>
      <c r="K19" s="271">
        <v>235000</v>
      </c>
    </row>
    <row r="20" spans="1:23" s="518" customFormat="1" ht="12.75" customHeight="1" x14ac:dyDescent="0.25">
      <c r="A20" s="24" t="s">
        <v>900</v>
      </c>
      <c r="B20" s="115"/>
      <c r="C20" s="272"/>
      <c r="D20" s="270"/>
      <c r="E20" s="271"/>
      <c r="F20" s="272"/>
      <c r="G20" s="270"/>
      <c r="H20" s="271"/>
      <c r="I20" s="272"/>
      <c r="J20" s="270"/>
      <c r="K20" s="271"/>
    </row>
    <row r="21" spans="1:23" s="518" customFormat="1" ht="12.75" customHeight="1" x14ac:dyDescent="0.25">
      <c r="A21" s="24" t="s">
        <v>901</v>
      </c>
      <c r="B21" s="115"/>
      <c r="C21" s="272"/>
      <c r="D21" s="270"/>
      <c r="E21" s="271"/>
      <c r="F21" s="272"/>
      <c r="G21" s="270"/>
      <c r="H21" s="271"/>
      <c r="I21" s="272"/>
      <c r="J21" s="270"/>
      <c r="K21" s="271"/>
    </row>
    <row r="22" spans="1:23" s="518" customFormat="1" ht="12.75" customHeight="1" x14ac:dyDescent="0.25">
      <c r="A22" s="24" t="s">
        <v>902</v>
      </c>
      <c r="B22" s="115"/>
      <c r="C22" s="272">
        <v>41000</v>
      </c>
      <c r="D22" s="270">
        <v>22000</v>
      </c>
      <c r="E22" s="271">
        <v>8063</v>
      </c>
      <c r="F22" s="272"/>
      <c r="G22" s="270"/>
      <c r="H22" s="271"/>
      <c r="I22" s="272"/>
      <c r="J22" s="270"/>
      <c r="K22" s="271"/>
    </row>
    <row r="23" spans="1:23" s="518" customFormat="1" ht="12.75" customHeight="1" x14ac:dyDescent="0.25">
      <c r="A23" s="54" t="s">
        <v>887</v>
      </c>
      <c r="B23" s="115"/>
      <c r="C23" s="272"/>
      <c r="D23" s="270"/>
      <c r="E23" s="271"/>
      <c r="F23" s="272"/>
      <c r="G23" s="270"/>
      <c r="H23" s="271"/>
      <c r="I23" s="272"/>
      <c r="J23" s="270"/>
      <c r="K23" s="271"/>
    </row>
    <row r="24" spans="1:23" ht="12.75" customHeight="1" x14ac:dyDescent="0.25">
      <c r="A24" s="59" t="s">
        <v>168</v>
      </c>
      <c r="B24" s="132"/>
      <c r="C24" s="45">
        <f>SUM(C15:C23)</f>
        <v>141000</v>
      </c>
      <c r="D24" s="44">
        <f t="shared" ref="D24:K24" si="1">SUM(D15:D23)</f>
        <v>87000</v>
      </c>
      <c r="E24" s="106">
        <f t="shared" si="1"/>
        <v>73523</v>
      </c>
      <c r="F24" s="45">
        <f t="shared" si="1"/>
        <v>235000</v>
      </c>
      <c r="G24" s="44">
        <f t="shared" si="1"/>
        <v>0</v>
      </c>
      <c r="H24" s="106">
        <f t="shared" si="1"/>
        <v>235000</v>
      </c>
      <c r="I24" s="45">
        <f t="shared" si="1"/>
        <v>235000</v>
      </c>
      <c r="J24" s="44">
        <f t="shared" si="1"/>
        <v>235000</v>
      </c>
      <c r="K24" s="106">
        <f t="shared" si="1"/>
        <v>235000</v>
      </c>
      <c r="L24" s="39"/>
      <c r="M24" s="39"/>
      <c r="N24" s="39"/>
      <c r="O24" s="39"/>
      <c r="P24" s="39"/>
      <c r="Q24" s="39"/>
      <c r="R24" s="39"/>
      <c r="S24" s="39"/>
      <c r="T24" s="39"/>
      <c r="U24" s="39"/>
      <c r="V24" s="39"/>
      <c r="W24" s="39"/>
    </row>
    <row r="25" spans="1:23" ht="12.75" customHeight="1" x14ac:dyDescent="0.25">
      <c r="A25" s="59" t="s">
        <v>297</v>
      </c>
      <c r="B25" s="132"/>
      <c r="C25" s="45">
        <f>C12+C24</f>
        <v>572000</v>
      </c>
      <c r="D25" s="44">
        <f>D12+D24</f>
        <v>1232000</v>
      </c>
      <c r="E25" s="106">
        <f>E12+E24</f>
        <v>480523</v>
      </c>
      <c r="F25" s="45">
        <f t="shared" ref="F25:K25" si="2">F12+F24</f>
        <v>471234</v>
      </c>
      <c r="G25" s="44">
        <f t="shared" si="2"/>
        <v>0</v>
      </c>
      <c r="H25" s="106">
        <f t="shared" si="2"/>
        <v>471234</v>
      </c>
      <c r="I25" s="45">
        <f t="shared" si="2"/>
        <v>946357</v>
      </c>
      <c r="J25" s="44">
        <f t="shared" si="2"/>
        <v>946357</v>
      </c>
      <c r="K25" s="106">
        <f t="shared" si="2"/>
        <v>946357</v>
      </c>
      <c r="L25" s="39"/>
      <c r="M25" s="39"/>
      <c r="N25" s="39"/>
      <c r="O25" s="39"/>
      <c r="P25" s="39"/>
      <c r="Q25" s="39"/>
      <c r="R25" s="39"/>
      <c r="S25" s="39"/>
      <c r="T25" s="39"/>
      <c r="U25" s="39"/>
      <c r="V25" s="39"/>
      <c r="W25" s="39"/>
    </row>
    <row r="26" spans="1:23" ht="5.0999999999999996" customHeight="1" x14ac:dyDescent="0.25">
      <c r="A26" s="25"/>
      <c r="B26" s="114"/>
      <c r="C26" s="28"/>
      <c r="D26" s="27"/>
      <c r="E26" s="105"/>
      <c r="F26" s="28"/>
      <c r="G26" s="27"/>
      <c r="H26" s="105"/>
      <c r="I26" s="28"/>
      <c r="J26" s="27"/>
      <c r="K26" s="105"/>
    </row>
    <row r="27" spans="1:23" ht="12.75" customHeight="1" x14ac:dyDescent="0.25">
      <c r="A27" s="55" t="s">
        <v>29</v>
      </c>
      <c r="B27" s="114"/>
      <c r="C27" s="28"/>
      <c r="D27" s="27"/>
      <c r="E27" s="105"/>
      <c r="F27" s="28"/>
      <c r="G27" s="27"/>
      <c r="H27" s="105"/>
      <c r="I27" s="28"/>
      <c r="J27" s="27"/>
      <c r="K27" s="105"/>
    </row>
    <row r="28" spans="1:23" ht="12.75" customHeight="1" x14ac:dyDescent="0.25">
      <c r="A28" s="55" t="s">
        <v>97</v>
      </c>
      <c r="B28" s="119"/>
      <c r="C28" s="28"/>
      <c r="D28" s="27"/>
      <c r="E28" s="105"/>
      <c r="F28" s="28"/>
      <c r="G28" s="27"/>
      <c r="H28" s="105"/>
      <c r="I28" s="28"/>
      <c r="J28" s="27"/>
      <c r="K28" s="105"/>
    </row>
    <row r="29" spans="1:23" ht="12.75" customHeight="1" x14ac:dyDescent="0.25">
      <c r="A29" s="24" t="s">
        <v>269</v>
      </c>
      <c r="B29" s="114"/>
      <c r="C29" s="272"/>
      <c r="D29" s="270"/>
      <c r="E29" s="271"/>
      <c r="F29" s="272"/>
      <c r="G29" s="270"/>
      <c r="H29" s="271"/>
      <c r="I29" s="272"/>
      <c r="J29" s="270"/>
      <c r="K29" s="271"/>
    </row>
    <row r="30" spans="1:23" ht="12.75" customHeight="1" x14ac:dyDescent="0.25">
      <c r="A30" s="24" t="s">
        <v>299</v>
      </c>
      <c r="B30" s="114"/>
      <c r="C30" s="272"/>
      <c r="D30" s="270"/>
      <c r="E30" s="271"/>
      <c r="F30" s="272"/>
      <c r="G30" s="270"/>
      <c r="H30" s="271"/>
      <c r="I30" s="272"/>
      <c r="J30" s="270"/>
      <c r="K30" s="271"/>
    </row>
    <row r="31" spans="1:23" ht="12.75" customHeight="1" x14ac:dyDescent="0.25">
      <c r="A31" s="24" t="s">
        <v>134</v>
      </c>
      <c r="B31" s="114"/>
      <c r="C31" s="272"/>
      <c r="D31" s="270"/>
      <c r="E31" s="271"/>
      <c r="F31" s="272"/>
      <c r="G31" s="270"/>
      <c r="H31" s="271"/>
      <c r="I31" s="272"/>
      <c r="J31" s="270"/>
      <c r="K31" s="271"/>
    </row>
    <row r="32" spans="1:23" ht="12.75" customHeight="1" x14ac:dyDescent="0.25">
      <c r="A32" s="24" t="s">
        <v>305</v>
      </c>
      <c r="B32" s="114"/>
      <c r="C32" s="272">
        <v>1642000</v>
      </c>
      <c r="D32" s="270">
        <v>2060029</v>
      </c>
      <c r="E32" s="271">
        <v>1643155</v>
      </c>
      <c r="F32" s="272">
        <v>2087539</v>
      </c>
      <c r="G32" s="270">
        <v>0</v>
      </c>
      <c r="H32" s="271">
        <v>2087539</v>
      </c>
      <c r="I32" s="272">
        <v>1643155</v>
      </c>
      <c r="J32" s="270">
        <v>1643155</v>
      </c>
      <c r="K32" s="271">
        <v>1643155</v>
      </c>
    </row>
    <row r="33" spans="1:23" ht="12.75" customHeight="1" x14ac:dyDescent="0.25">
      <c r="A33" s="24" t="s">
        <v>98</v>
      </c>
      <c r="B33" s="114">
        <v>3</v>
      </c>
      <c r="C33" s="272"/>
      <c r="D33" s="270"/>
      <c r="E33" s="271"/>
      <c r="F33" s="272"/>
      <c r="G33" s="270"/>
      <c r="H33" s="271"/>
      <c r="I33" s="272"/>
      <c r="J33" s="270"/>
      <c r="K33" s="271"/>
    </row>
    <row r="34" spans="1:23" ht="12.75" customHeight="1" x14ac:dyDescent="0.25">
      <c r="A34" s="59" t="s">
        <v>32</v>
      </c>
      <c r="B34" s="132"/>
      <c r="C34" s="45">
        <f t="shared" ref="C34:K34" si="3">SUM(C29:C33)</f>
        <v>1642000</v>
      </c>
      <c r="D34" s="44">
        <f t="shared" si="3"/>
        <v>2060029</v>
      </c>
      <c r="E34" s="106">
        <f t="shared" si="3"/>
        <v>1643155</v>
      </c>
      <c r="F34" s="45">
        <f t="shared" si="3"/>
        <v>2087539</v>
      </c>
      <c r="G34" s="44">
        <f t="shared" si="3"/>
        <v>0</v>
      </c>
      <c r="H34" s="106">
        <f t="shared" si="3"/>
        <v>2087539</v>
      </c>
      <c r="I34" s="45">
        <f t="shared" si="3"/>
        <v>1643155</v>
      </c>
      <c r="J34" s="44">
        <f t="shared" si="3"/>
        <v>1643155</v>
      </c>
      <c r="K34" s="106">
        <f t="shared" si="3"/>
        <v>1643155</v>
      </c>
      <c r="L34" s="39"/>
      <c r="M34" s="39"/>
      <c r="N34" s="39"/>
      <c r="O34" s="39"/>
      <c r="P34" s="39"/>
      <c r="Q34" s="39"/>
      <c r="R34" s="39"/>
      <c r="S34" s="39"/>
      <c r="T34" s="39"/>
      <c r="U34" s="39"/>
      <c r="V34" s="39"/>
      <c r="W34" s="39"/>
    </row>
    <row r="35" spans="1:23" ht="5.0999999999999996" customHeight="1" x14ac:dyDescent="0.25">
      <c r="A35" s="25"/>
      <c r="B35" s="114"/>
      <c r="C35" s="28"/>
      <c r="D35" s="27"/>
      <c r="E35" s="105"/>
      <c r="F35" s="28"/>
      <c r="G35" s="27"/>
      <c r="H35" s="105"/>
      <c r="I35" s="28"/>
      <c r="J35" s="27"/>
      <c r="K35" s="105"/>
    </row>
    <row r="36" spans="1:23" ht="12.75" customHeight="1" x14ac:dyDescent="0.25">
      <c r="A36" s="55" t="s">
        <v>30</v>
      </c>
      <c r="B36" s="114"/>
      <c r="C36" s="28"/>
      <c r="D36" s="27"/>
      <c r="E36" s="105"/>
      <c r="F36" s="28"/>
      <c r="G36" s="27"/>
      <c r="H36" s="105"/>
      <c r="I36" s="28"/>
      <c r="J36" s="27"/>
      <c r="K36" s="105"/>
    </row>
    <row r="37" spans="1:23" ht="12.75" customHeight="1" x14ac:dyDescent="0.25">
      <c r="A37" s="24" t="s">
        <v>299</v>
      </c>
      <c r="B37" s="114"/>
      <c r="C37" s="272"/>
      <c r="D37" s="270"/>
      <c r="E37" s="271"/>
      <c r="F37" s="272"/>
      <c r="G37" s="270"/>
      <c r="H37" s="271"/>
      <c r="I37" s="272"/>
      <c r="J37" s="270"/>
      <c r="K37" s="271"/>
    </row>
    <row r="38" spans="1:23" ht="12.75" customHeight="1" x14ac:dyDescent="0.25">
      <c r="A38" s="24" t="s">
        <v>98</v>
      </c>
      <c r="B38" s="114">
        <v>3</v>
      </c>
      <c r="C38" s="272"/>
      <c r="D38" s="270"/>
      <c r="E38" s="271"/>
      <c r="F38" s="272"/>
      <c r="G38" s="270"/>
      <c r="H38" s="271"/>
      <c r="I38" s="272"/>
      <c r="J38" s="270"/>
      <c r="K38" s="271"/>
    </row>
    <row r="39" spans="1:23" ht="12.75" customHeight="1" x14ac:dyDescent="0.25">
      <c r="A39" s="59" t="s">
        <v>31</v>
      </c>
      <c r="B39" s="132"/>
      <c r="C39" s="138">
        <f>SUM(C37:C38)</f>
        <v>0</v>
      </c>
      <c r="D39" s="143">
        <f>SUM(D37:D38)</f>
        <v>0</v>
      </c>
      <c r="E39" s="106">
        <f>SUM(E37:E38)</f>
        <v>0</v>
      </c>
      <c r="F39" s="45">
        <f t="shared" ref="F39:K39" si="4">SUM(F37:F38)</f>
        <v>0</v>
      </c>
      <c r="G39" s="44">
        <f t="shared" si="4"/>
        <v>0</v>
      </c>
      <c r="H39" s="106">
        <f t="shared" si="4"/>
        <v>0</v>
      </c>
      <c r="I39" s="45">
        <f t="shared" si="4"/>
        <v>0</v>
      </c>
      <c r="J39" s="44">
        <f t="shared" si="4"/>
        <v>0</v>
      </c>
      <c r="K39" s="106">
        <f t="shared" si="4"/>
        <v>0</v>
      </c>
      <c r="L39" s="39"/>
      <c r="M39" s="39"/>
      <c r="N39" s="39"/>
      <c r="O39" s="39"/>
      <c r="P39" s="39"/>
      <c r="Q39" s="39"/>
      <c r="R39" s="39"/>
      <c r="S39" s="39"/>
      <c r="T39" s="39"/>
      <c r="U39" s="39"/>
      <c r="V39" s="39"/>
      <c r="W39" s="39"/>
    </row>
    <row r="40" spans="1:23" ht="12.75" customHeight="1" x14ac:dyDescent="0.25">
      <c r="A40" s="59" t="s">
        <v>465</v>
      </c>
      <c r="B40" s="132"/>
      <c r="C40" s="45">
        <f>C34+C39</f>
        <v>1642000</v>
      </c>
      <c r="D40" s="44">
        <f>D34+D39</f>
        <v>2060029</v>
      </c>
      <c r="E40" s="106">
        <f>E34+E39</f>
        <v>1643155</v>
      </c>
      <c r="F40" s="45">
        <f t="shared" ref="F40:K40" si="5">F34+F39</f>
        <v>2087539</v>
      </c>
      <c r="G40" s="44">
        <f t="shared" si="5"/>
        <v>0</v>
      </c>
      <c r="H40" s="106">
        <f t="shared" si="5"/>
        <v>2087539</v>
      </c>
      <c r="I40" s="45">
        <f t="shared" si="5"/>
        <v>1643155</v>
      </c>
      <c r="J40" s="44">
        <f t="shared" si="5"/>
        <v>1643155</v>
      </c>
      <c r="K40" s="106">
        <f t="shared" si="5"/>
        <v>1643155</v>
      </c>
      <c r="L40" s="39"/>
      <c r="M40" s="39"/>
      <c r="N40" s="39"/>
      <c r="O40" s="39"/>
      <c r="P40" s="39"/>
      <c r="Q40" s="39"/>
      <c r="R40" s="39"/>
      <c r="S40" s="39"/>
      <c r="T40" s="39"/>
      <c r="U40" s="39"/>
      <c r="V40" s="39"/>
      <c r="W40" s="39"/>
    </row>
    <row r="41" spans="1:23" s="42" customFormat="1" ht="5.0999999999999996" customHeight="1" x14ac:dyDescent="0.25">
      <c r="A41" s="25"/>
      <c r="B41" s="114"/>
      <c r="C41" s="28"/>
      <c r="D41" s="27"/>
      <c r="E41" s="105"/>
      <c r="F41" s="28"/>
      <c r="G41" s="27"/>
      <c r="H41" s="105"/>
      <c r="I41" s="28"/>
      <c r="J41" s="27"/>
      <c r="K41" s="105"/>
    </row>
    <row r="42" spans="1:23" ht="12.75" customHeight="1" x14ac:dyDescent="0.25">
      <c r="A42" s="376" t="s">
        <v>296</v>
      </c>
      <c r="B42" s="140">
        <v>2</v>
      </c>
      <c r="C42" s="474">
        <f t="shared" ref="C42:K42" si="6">C25-C40</f>
        <v>-1070000</v>
      </c>
      <c r="D42" s="475">
        <f t="shared" si="6"/>
        <v>-828029</v>
      </c>
      <c r="E42" s="476">
        <f t="shared" si="6"/>
        <v>-1162632</v>
      </c>
      <c r="F42" s="474">
        <f t="shared" si="6"/>
        <v>-1616305</v>
      </c>
      <c r="G42" s="475">
        <f t="shared" si="6"/>
        <v>0</v>
      </c>
      <c r="H42" s="476">
        <f t="shared" si="6"/>
        <v>-1616305</v>
      </c>
      <c r="I42" s="474">
        <f t="shared" si="6"/>
        <v>-696798</v>
      </c>
      <c r="J42" s="475">
        <f t="shared" si="6"/>
        <v>-696798</v>
      </c>
      <c r="K42" s="476">
        <f t="shared" si="6"/>
        <v>-696798</v>
      </c>
      <c r="L42" s="39"/>
      <c r="M42" s="39"/>
      <c r="N42" s="39"/>
      <c r="O42" s="39"/>
      <c r="P42" s="39"/>
      <c r="Q42" s="39"/>
      <c r="R42" s="39"/>
      <c r="S42" s="39"/>
      <c r="T42" s="39"/>
      <c r="U42" s="39"/>
      <c r="V42" s="39"/>
      <c r="W42" s="39"/>
    </row>
    <row r="43" spans="1:23" ht="5.0999999999999996" customHeight="1" x14ac:dyDescent="0.25">
      <c r="A43" s="25"/>
      <c r="B43" s="114"/>
      <c r="C43" s="28"/>
      <c r="D43" s="27"/>
      <c r="E43" s="105"/>
      <c r="F43" s="28"/>
      <c r="G43" s="27"/>
      <c r="H43" s="105"/>
      <c r="I43" s="28"/>
      <c r="J43" s="27"/>
      <c r="K43" s="105"/>
    </row>
    <row r="44" spans="1:23" ht="12.75" customHeight="1" x14ac:dyDescent="0.25">
      <c r="A44" s="55" t="s">
        <v>170</v>
      </c>
      <c r="B44" s="114"/>
      <c r="C44" s="28"/>
      <c r="D44" s="27"/>
      <c r="E44" s="105"/>
      <c r="F44" s="28"/>
      <c r="G44" s="27"/>
      <c r="H44" s="105"/>
      <c r="I44" s="28"/>
      <c r="J44" s="27"/>
      <c r="K44" s="105"/>
    </row>
    <row r="45" spans="1:23" ht="12.75" customHeight="1" x14ac:dyDescent="0.25">
      <c r="A45" s="24" t="s">
        <v>117</v>
      </c>
      <c r="B45" s="114"/>
      <c r="C45" s="272"/>
      <c r="D45" s="270"/>
      <c r="E45" s="271"/>
      <c r="F45" s="272"/>
      <c r="G45" s="270"/>
      <c r="H45" s="271"/>
      <c r="I45" s="272"/>
      <c r="J45" s="270"/>
      <c r="K45" s="271"/>
    </row>
    <row r="46" spans="1:23" ht="12.75" customHeight="1" x14ac:dyDescent="0.25">
      <c r="A46" s="24" t="s">
        <v>390</v>
      </c>
      <c r="B46" s="114"/>
      <c r="C46" s="272"/>
      <c r="D46" s="270"/>
      <c r="E46" s="271"/>
      <c r="F46" s="272"/>
      <c r="G46" s="270"/>
      <c r="H46" s="271"/>
      <c r="I46" s="272"/>
      <c r="J46" s="270"/>
      <c r="K46" s="271"/>
    </row>
    <row r="47" spans="1:23" s="518" customFormat="1" ht="12.75" customHeight="1" x14ac:dyDescent="0.25">
      <c r="A47" s="54" t="s">
        <v>7</v>
      </c>
      <c r="B47" s="115"/>
      <c r="C47" s="272"/>
      <c r="D47" s="270"/>
      <c r="E47" s="271"/>
      <c r="F47" s="272"/>
      <c r="G47" s="270"/>
      <c r="H47" s="271"/>
      <c r="I47" s="272"/>
      <c r="J47" s="270"/>
      <c r="K47" s="271"/>
    </row>
    <row r="48" spans="1:23" ht="12.75" customHeight="1" x14ac:dyDescent="0.25">
      <c r="A48" s="32" t="s">
        <v>163</v>
      </c>
      <c r="B48" s="134">
        <v>2</v>
      </c>
      <c r="C48" s="34">
        <f>SUM(C45:C47)</f>
        <v>0</v>
      </c>
      <c r="D48" s="33">
        <f t="shared" ref="D48:K48" si="7">SUM(D45:D47)</f>
        <v>0</v>
      </c>
      <c r="E48" s="133">
        <f t="shared" si="7"/>
        <v>0</v>
      </c>
      <c r="F48" s="34">
        <f t="shared" si="7"/>
        <v>0</v>
      </c>
      <c r="G48" s="33">
        <f t="shared" si="7"/>
        <v>0</v>
      </c>
      <c r="H48" s="133">
        <f t="shared" si="7"/>
        <v>0</v>
      </c>
      <c r="I48" s="34">
        <f t="shared" si="7"/>
        <v>0</v>
      </c>
      <c r="J48" s="33">
        <f t="shared" si="7"/>
        <v>0</v>
      </c>
      <c r="K48" s="133">
        <f t="shared" si="7"/>
        <v>0</v>
      </c>
      <c r="L48" s="39"/>
      <c r="M48" s="39"/>
      <c r="N48" s="39"/>
      <c r="O48" s="39"/>
      <c r="P48" s="39"/>
      <c r="Q48" s="39"/>
      <c r="R48" s="39"/>
      <c r="S48" s="39"/>
      <c r="T48" s="39"/>
      <c r="U48" s="39"/>
      <c r="V48" s="39"/>
      <c r="W48" s="39"/>
    </row>
    <row r="49" spans="1:11" ht="12.75" customHeight="1" x14ac:dyDescent="0.25">
      <c r="A49" s="35" t="s">
        <v>185</v>
      </c>
      <c r="B49" s="36"/>
      <c r="C49" s="39"/>
      <c r="D49" s="39"/>
      <c r="E49" s="39"/>
      <c r="F49" s="39"/>
      <c r="G49" s="39"/>
      <c r="H49" s="39"/>
      <c r="I49" s="39"/>
      <c r="J49" s="39"/>
      <c r="K49" s="39"/>
    </row>
    <row r="50" spans="1:11" ht="12.75" customHeight="1" x14ac:dyDescent="0.25">
      <c r="A50" s="472" t="s">
        <v>597</v>
      </c>
      <c r="B50" s="47"/>
      <c r="C50" s="47"/>
      <c r="D50" s="47"/>
      <c r="E50" s="47"/>
      <c r="F50" s="47"/>
      <c r="G50" s="47"/>
      <c r="H50" s="47"/>
      <c r="I50" s="47"/>
      <c r="J50" s="47"/>
      <c r="K50" s="47"/>
    </row>
    <row r="51" spans="1:11" ht="12.75" customHeight="1" x14ac:dyDescent="0.25">
      <c r="A51" s="472" t="s">
        <v>598</v>
      </c>
      <c r="B51" s="40"/>
      <c r="C51" s="48"/>
      <c r="D51" s="48"/>
      <c r="E51" s="46"/>
      <c r="F51" s="46"/>
      <c r="G51" s="46"/>
      <c r="H51" s="46"/>
      <c r="I51" s="46"/>
      <c r="J51" s="46"/>
      <c r="K51" s="46"/>
    </row>
    <row r="52" spans="1:11" ht="12.75" customHeight="1" x14ac:dyDescent="0.25">
      <c r="A52" s="37" t="s">
        <v>368</v>
      </c>
      <c r="B52" s="40"/>
      <c r="C52" s="48"/>
      <c r="D52" s="48"/>
      <c r="E52" s="46"/>
      <c r="F52" s="46"/>
      <c r="G52" s="46"/>
      <c r="H52" s="46"/>
      <c r="I52" s="46"/>
      <c r="J52" s="46"/>
      <c r="K52" s="46"/>
    </row>
    <row r="53" spans="1:11" ht="11.25" customHeight="1" x14ac:dyDescent="0.25">
      <c r="A53" s="41" t="s">
        <v>257</v>
      </c>
      <c r="B53" s="40"/>
      <c r="C53" s="551" t="str">
        <f>IF((C42-C48)=0,0,"Unbalanced")</f>
        <v>Unbalanced</v>
      </c>
      <c r="D53" s="73" t="str">
        <f t="shared" ref="D53:K53" si="8">IF((D42-D48)=0,0,"Unbalanced")</f>
        <v>Unbalanced</v>
      </c>
      <c r="E53" s="73" t="str">
        <f t="shared" si="8"/>
        <v>Unbalanced</v>
      </c>
      <c r="F53" s="73" t="str">
        <f t="shared" si="8"/>
        <v>Unbalanced</v>
      </c>
      <c r="G53" s="122">
        <f t="shared" si="8"/>
        <v>0</v>
      </c>
      <c r="H53" s="73" t="str">
        <f t="shared" si="8"/>
        <v>Unbalanced</v>
      </c>
      <c r="I53" s="73" t="str">
        <f t="shared" si="8"/>
        <v>Unbalanced</v>
      </c>
      <c r="J53" s="73" t="str">
        <f t="shared" si="8"/>
        <v>Unbalanced</v>
      </c>
      <c r="K53" s="73" t="str">
        <f t="shared" si="8"/>
        <v>Unbalanced</v>
      </c>
    </row>
    <row r="54" spans="1:11" ht="11.25" customHeight="1" x14ac:dyDescent="0.25">
      <c r="B54" s="20"/>
    </row>
    <row r="55" spans="1:11" ht="11.25" customHeight="1" x14ac:dyDescent="0.25">
      <c r="B55" s="20"/>
    </row>
    <row r="56" spans="1:11" ht="11.25" customHeight="1" x14ac:dyDescent="0.25">
      <c r="B56" s="20"/>
    </row>
    <row r="57" spans="1:11" ht="11.25" customHeight="1" x14ac:dyDescent="0.25">
      <c r="B57" s="20"/>
    </row>
    <row r="58" spans="1:11" ht="11.25" customHeight="1" x14ac:dyDescent="0.25">
      <c r="B58" s="20"/>
    </row>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sheetData>
  <sheetProtection password="A35B" sheet="1" objects="1" scenarios="1"/>
  <mergeCells count="1">
    <mergeCell ref="F2:H2"/>
  </mergeCells>
  <phoneticPr fontId="2" type="noConversion"/>
  <conditionalFormatting sqref="C53">
    <cfRule type="cellIs" dxfId="0" priority="1" stopIfTrue="1" operator="notEqual">
      <formula>0</formula>
    </cfRule>
  </conditionalFormatting>
  <printOptions horizontalCentered="1"/>
  <pageMargins left="0.35433070866141736" right="0.15748031496062992" top="0.78740157480314965" bottom="0.59055118110236227" header="0.51181102362204722" footer="0.39370078740157483"/>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tabColor indexed="44"/>
    <pageSetUpPr fitToPage="1"/>
  </sheetPr>
  <dimension ref="A1:W82"/>
  <sheetViews>
    <sheetView showGridLines="0" zoomScaleNormal="100" workbookViewId="0">
      <pane xSplit="2" ySplit="3" topLeftCell="C16" activePane="bottomRight" state="frozen"/>
      <selection activeCell="M29" sqref="M29"/>
      <selection pane="topRight" activeCell="M29" sqref="M29"/>
      <selection pane="bottomLeft" activeCell="M29" sqref="M29"/>
      <selection pane="bottomRight" activeCell="C41" sqref="C41"/>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1" ht="13.5" x14ac:dyDescent="0.25">
      <c r="A1" s="112" t="str">
        <f>_MEB4</f>
        <v>GREATER TZANEEN ECONOMIC DEVELOPMENT AGENCY - Table D5 Budgeted Cash Flow</v>
      </c>
    </row>
    <row r="2" spans="1:11" s="473" customFormat="1" ht="27.75" customHeight="1" x14ac:dyDescent="0.25">
      <c r="A2" s="456" t="str">
        <f>desc</f>
        <v>Description</v>
      </c>
      <c r="B2" s="464" t="str">
        <f>head27</f>
        <v>Ref</v>
      </c>
      <c r="C2" s="108" t="str">
        <f>head1b</f>
        <v>2014/15</v>
      </c>
      <c r="D2" s="21" t="str">
        <f>head1A</f>
        <v>2015/16</v>
      </c>
      <c r="E2" s="102" t="str">
        <f>Head1</f>
        <v>2016/17</v>
      </c>
      <c r="F2" s="622" t="str">
        <f>Head2</f>
        <v>Current Year 2017/18</v>
      </c>
      <c r="G2" s="626"/>
      <c r="H2" s="627"/>
      <c r="I2" s="131" t="str">
        <f>Head3a</f>
        <v>Medium Term Revenue and Expenditure Framework</v>
      </c>
      <c r="J2" s="129"/>
      <c r="K2" s="130"/>
    </row>
    <row r="3" spans="1:11" s="473" customFormat="1" ht="27.75" customHeight="1" x14ac:dyDescent="0.25">
      <c r="A3" s="468" t="s">
        <v>206</v>
      </c>
      <c r="B3" s="465"/>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2018/19</v>
      </c>
      <c r="J3" s="127" t="str">
        <f>Head10</f>
        <v>Budget Year +1 2019/20</v>
      </c>
      <c r="K3" s="455" t="str">
        <f>Head11</f>
        <v>Budget Year +2 2020/21</v>
      </c>
    </row>
    <row r="4" spans="1:11" ht="12.75" customHeight="1" x14ac:dyDescent="0.25">
      <c r="A4" s="55" t="s">
        <v>348</v>
      </c>
      <c r="B4" s="114"/>
      <c r="C4" s="28"/>
      <c r="D4" s="27"/>
      <c r="E4" s="105"/>
      <c r="F4" s="28"/>
      <c r="G4" s="27"/>
      <c r="H4" s="105"/>
      <c r="I4" s="28"/>
      <c r="J4" s="27"/>
      <c r="K4" s="105"/>
    </row>
    <row r="5" spans="1:11" ht="12.75" customHeight="1" x14ac:dyDescent="0.25">
      <c r="A5" s="55" t="s">
        <v>385</v>
      </c>
      <c r="B5" s="114"/>
      <c r="C5" s="28"/>
      <c r="D5" s="27"/>
      <c r="E5" s="105"/>
      <c r="F5" s="28"/>
      <c r="G5" s="27"/>
      <c r="H5" s="105"/>
      <c r="I5" s="28"/>
      <c r="J5" s="27"/>
      <c r="K5" s="105"/>
    </row>
    <row r="6" spans="1:11" s="518" customFormat="1" ht="12.75" customHeight="1" x14ac:dyDescent="0.25">
      <c r="A6" s="360" t="s">
        <v>409</v>
      </c>
      <c r="B6" s="115"/>
      <c r="C6" s="272"/>
      <c r="D6" s="270"/>
      <c r="E6" s="271"/>
      <c r="F6" s="272"/>
      <c r="G6" s="270"/>
      <c r="H6" s="271"/>
      <c r="I6" s="272"/>
      <c r="J6" s="270"/>
      <c r="K6" s="271"/>
    </row>
    <row r="7" spans="1:11" s="518" customFormat="1" ht="12.75" customHeight="1" x14ac:dyDescent="0.25">
      <c r="A7" s="360" t="s">
        <v>457</v>
      </c>
      <c r="B7" s="115"/>
      <c r="C7" s="272"/>
      <c r="D7" s="270"/>
      <c r="E7" s="271"/>
      <c r="F7" s="272"/>
      <c r="G7" s="270"/>
      <c r="H7" s="271"/>
      <c r="I7" s="272"/>
      <c r="J7" s="270"/>
      <c r="K7" s="271"/>
    </row>
    <row r="8" spans="1:11" s="518" customFormat="1" ht="12.75" customHeight="1" x14ac:dyDescent="0.25">
      <c r="A8" s="360" t="s">
        <v>27</v>
      </c>
      <c r="B8" s="115"/>
      <c r="C8" s="272">
        <v>4859000</v>
      </c>
      <c r="D8" s="270">
        <v>5591000</v>
      </c>
      <c r="E8" s="271">
        <v>6735000</v>
      </c>
      <c r="F8" s="272">
        <v>7145835</v>
      </c>
      <c r="G8" s="270">
        <v>0</v>
      </c>
      <c r="H8" s="271">
        <v>7145835</v>
      </c>
      <c r="I8" s="272">
        <v>7860418.5</v>
      </c>
      <c r="J8" s="270">
        <v>8332043.6100000003</v>
      </c>
      <c r="K8" s="271">
        <v>8831966.2300000004</v>
      </c>
    </row>
    <row r="9" spans="1:11" ht="12.75" customHeight="1" x14ac:dyDescent="0.25">
      <c r="A9" s="24" t="s">
        <v>230</v>
      </c>
      <c r="B9" s="114"/>
      <c r="C9" s="272"/>
      <c r="D9" s="270"/>
      <c r="E9" s="271"/>
      <c r="F9" s="272"/>
      <c r="G9" s="270"/>
      <c r="H9" s="271"/>
      <c r="I9" s="272"/>
      <c r="J9" s="270"/>
      <c r="K9" s="271"/>
    </row>
    <row r="10" spans="1:11" ht="12.75" customHeight="1" x14ac:dyDescent="0.25">
      <c r="A10" s="24" t="s">
        <v>231</v>
      </c>
      <c r="B10" s="114"/>
      <c r="C10" s="272"/>
      <c r="D10" s="270"/>
      <c r="E10" s="271"/>
      <c r="F10" s="272"/>
      <c r="G10" s="270"/>
      <c r="H10" s="271"/>
      <c r="I10" s="272"/>
      <c r="J10" s="270"/>
      <c r="K10" s="271"/>
    </row>
    <row r="11" spans="1:11" ht="12.75" customHeight="1" x14ac:dyDescent="0.25">
      <c r="A11" s="24" t="s">
        <v>372</v>
      </c>
      <c r="B11" s="114"/>
      <c r="C11" s="272"/>
      <c r="D11" s="270"/>
      <c r="E11" s="271"/>
      <c r="F11" s="272"/>
      <c r="G11" s="270"/>
      <c r="H11" s="271"/>
      <c r="I11" s="272"/>
      <c r="J11" s="270"/>
      <c r="K11" s="271"/>
    </row>
    <row r="12" spans="1:11" ht="12.75" customHeight="1" x14ac:dyDescent="0.25">
      <c r="A12" s="24" t="s">
        <v>205</v>
      </c>
      <c r="B12" s="114"/>
      <c r="C12" s="272"/>
      <c r="D12" s="270"/>
      <c r="E12" s="271"/>
      <c r="F12" s="272"/>
      <c r="G12" s="270"/>
      <c r="H12" s="271"/>
      <c r="I12" s="272"/>
      <c r="J12" s="270"/>
      <c r="K12" s="271"/>
    </row>
    <row r="13" spans="1:11" ht="12.75" customHeight="1" x14ac:dyDescent="0.25">
      <c r="A13" s="55" t="s">
        <v>386</v>
      </c>
      <c r="B13" s="114">
        <v>2</v>
      </c>
      <c r="C13" s="278"/>
      <c r="D13" s="276"/>
      <c r="E13" s="277"/>
      <c r="F13" s="278"/>
      <c r="G13" s="276"/>
      <c r="H13" s="277"/>
      <c r="I13" s="278"/>
      <c r="J13" s="276"/>
      <c r="K13" s="277"/>
    </row>
    <row r="14" spans="1:11" ht="12.75" customHeight="1" x14ac:dyDescent="0.25">
      <c r="A14" s="24" t="s">
        <v>232</v>
      </c>
      <c r="B14" s="114"/>
      <c r="C14" s="272">
        <f>-4947000</f>
        <v>-4947000</v>
      </c>
      <c r="D14" s="270">
        <v>-4898000</v>
      </c>
      <c r="E14" s="271">
        <v>-6500000</v>
      </c>
      <c r="F14" s="272">
        <v>-6910835</v>
      </c>
      <c r="G14" s="270">
        <v>0</v>
      </c>
      <c r="H14" s="271">
        <v>-6910835</v>
      </c>
      <c r="I14" s="272">
        <f>-7625418.5</f>
        <v>-7625418.5</v>
      </c>
      <c r="J14" s="270">
        <f>-8097043.61</f>
        <v>-8097043.6100000003</v>
      </c>
      <c r="K14" s="271">
        <f>-8596966.23</f>
        <v>-8596966.2300000004</v>
      </c>
    </row>
    <row r="15" spans="1:11" ht="12.75" customHeight="1" x14ac:dyDescent="0.25">
      <c r="A15" s="24" t="s">
        <v>26</v>
      </c>
      <c r="B15" s="114"/>
      <c r="C15" s="272">
        <v>-39000</v>
      </c>
      <c r="D15" s="270">
        <v>-12000</v>
      </c>
      <c r="E15" s="271"/>
      <c r="F15" s="272"/>
      <c r="G15" s="270"/>
      <c r="H15" s="271"/>
      <c r="I15" s="272"/>
      <c r="J15" s="270"/>
      <c r="K15" s="271"/>
    </row>
    <row r="16" spans="1:11" s="518" customFormat="1" ht="12.75" customHeight="1" x14ac:dyDescent="0.25">
      <c r="A16" s="54" t="s">
        <v>375</v>
      </c>
      <c r="B16" s="115"/>
      <c r="C16" s="272"/>
      <c r="D16" s="270"/>
      <c r="E16" s="271"/>
      <c r="F16" s="272"/>
      <c r="G16" s="270"/>
      <c r="H16" s="271"/>
      <c r="I16" s="272"/>
      <c r="J16" s="270"/>
      <c r="K16" s="271"/>
    </row>
    <row r="17" spans="1:23" ht="12.75" customHeight="1" x14ac:dyDescent="0.25">
      <c r="A17" s="54" t="s">
        <v>833</v>
      </c>
      <c r="B17" s="114"/>
      <c r="C17" s="272"/>
      <c r="D17" s="270"/>
      <c r="E17" s="271"/>
      <c r="F17" s="272"/>
      <c r="G17" s="270"/>
      <c r="H17" s="271"/>
      <c r="I17" s="272"/>
      <c r="J17" s="270"/>
      <c r="K17" s="271"/>
    </row>
    <row r="18" spans="1:23" ht="12.75" customHeight="1" x14ac:dyDescent="0.25">
      <c r="A18" s="59" t="s">
        <v>378</v>
      </c>
      <c r="B18" s="132"/>
      <c r="C18" s="45">
        <f>SUM(C6:C12)+SUM(C14:C17)</f>
        <v>-127000</v>
      </c>
      <c r="D18" s="44">
        <f t="shared" ref="D18:K18" si="0">SUM(D6:D12)+SUM(D14:D17)</f>
        <v>681000</v>
      </c>
      <c r="E18" s="106">
        <f t="shared" si="0"/>
        <v>235000</v>
      </c>
      <c r="F18" s="45">
        <f t="shared" si="0"/>
        <v>235000</v>
      </c>
      <c r="G18" s="44">
        <f t="shared" si="0"/>
        <v>0</v>
      </c>
      <c r="H18" s="106">
        <f t="shared" si="0"/>
        <v>235000</v>
      </c>
      <c r="I18" s="45">
        <f t="shared" si="0"/>
        <v>235000</v>
      </c>
      <c r="J18" s="44">
        <f t="shared" si="0"/>
        <v>235000</v>
      </c>
      <c r="K18" s="106">
        <f t="shared" si="0"/>
        <v>235000</v>
      </c>
      <c r="L18" s="39"/>
      <c r="M18" s="39"/>
      <c r="N18" s="39"/>
      <c r="O18" s="39"/>
      <c r="P18" s="39"/>
      <c r="Q18" s="39"/>
      <c r="R18" s="39"/>
      <c r="S18" s="39"/>
      <c r="T18" s="39"/>
      <c r="U18" s="39"/>
      <c r="V18" s="39"/>
      <c r="W18" s="39"/>
    </row>
    <row r="19" spans="1:23" ht="5.0999999999999996" customHeight="1" x14ac:dyDescent="0.25">
      <c r="A19" s="25"/>
      <c r="B19" s="114"/>
      <c r="C19" s="28"/>
      <c r="D19" s="27"/>
      <c r="E19" s="105"/>
      <c r="F19" s="28"/>
      <c r="G19" s="27"/>
      <c r="H19" s="105"/>
      <c r="I19" s="28"/>
      <c r="J19" s="27"/>
      <c r="K19" s="105"/>
    </row>
    <row r="20" spans="1:23" ht="12.75" customHeight="1" x14ac:dyDescent="0.25">
      <c r="A20" s="55" t="s">
        <v>258</v>
      </c>
      <c r="B20" s="114"/>
      <c r="C20" s="28"/>
      <c r="D20" s="27"/>
      <c r="E20" s="105"/>
      <c r="F20" s="28"/>
      <c r="G20" s="27"/>
      <c r="H20" s="105"/>
      <c r="I20" s="28"/>
      <c r="J20" s="27"/>
      <c r="K20" s="105"/>
    </row>
    <row r="21" spans="1:23" ht="12.75" customHeight="1" x14ac:dyDescent="0.25">
      <c r="A21" s="55" t="s">
        <v>385</v>
      </c>
      <c r="B21" s="114"/>
      <c r="C21" s="28"/>
      <c r="D21" s="27"/>
      <c r="E21" s="105"/>
      <c r="F21" s="28"/>
      <c r="G21" s="27"/>
      <c r="H21" s="105"/>
      <c r="I21" s="28"/>
      <c r="J21" s="27"/>
      <c r="K21" s="105"/>
    </row>
    <row r="22" spans="1:23" ht="12.75" customHeight="1" x14ac:dyDescent="0.25">
      <c r="A22" s="24" t="s">
        <v>405</v>
      </c>
      <c r="B22" s="114"/>
      <c r="C22" s="272"/>
      <c r="D22" s="270"/>
      <c r="E22" s="271"/>
      <c r="F22" s="272"/>
      <c r="G22" s="270"/>
      <c r="H22" s="271"/>
      <c r="I22" s="272"/>
      <c r="J22" s="270"/>
      <c r="K22" s="271"/>
    </row>
    <row r="23" spans="1:23" ht="12.75" customHeight="1" x14ac:dyDescent="0.25">
      <c r="A23" s="24" t="s">
        <v>16</v>
      </c>
      <c r="B23" s="114"/>
      <c r="C23" s="272"/>
      <c r="D23" s="270"/>
      <c r="E23" s="271"/>
      <c r="F23" s="272"/>
      <c r="G23" s="270"/>
      <c r="H23" s="271"/>
      <c r="I23" s="272"/>
      <c r="J23" s="270"/>
      <c r="K23" s="271"/>
    </row>
    <row r="24" spans="1:23" ht="12.75" customHeight="1" x14ac:dyDescent="0.25">
      <c r="A24" s="24" t="s">
        <v>376</v>
      </c>
      <c r="B24" s="119"/>
      <c r="C24" s="272"/>
      <c r="D24" s="270"/>
      <c r="E24" s="271"/>
      <c r="F24" s="272"/>
      <c r="G24" s="270"/>
      <c r="H24" s="271"/>
      <c r="I24" s="272"/>
      <c r="J24" s="270"/>
      <c r="K24" s="271"/>
    </row>
    <row r="25" spans="1:23" ht="12.75" customHeight="1" x14ac:dyDescent="0.25">
      <c r="A25" s="24" t="s">
        <v>377</v>
      </c>
      <c r="B25" s="114"/>
      <c r="C25" s="272"/>
      <c r="D25" s="270"/>
      <c r="E25" s="271"/>
      <c r="F25" s="272"/>
      <c r="G25" s="270"/>
      <c r="H25" s="271"/>
      <c r="I25" s="272"/>
      <c r="J25" s="270"/>
      <c r="K25" s="271"/>
    </row>
    <row r="26" spans="1:23" ht="12.75" customHeight="1" x14ac:dyDescent="0.25">
      <c r="A26" s="55" t="s">
        <v>386</v>
      </c>
      <c r="B26" s="114"/>
      <c r="C26" s="28"/>
      <c r="D26" s="27"/>
      <c r="E26" s="105"/>
      <c r="F26" s="28"/>
      <c r="G26" s="27"/>
      <c r="H26" s="105"/>
      <c r="I26" s="28"/>
      <c r="J26" s="27"/>
      <c r="K26" s="105"/>
    </row>
    <row r="27" spans="1:23" ht="12.75" customHeight="1" x14ac:dyDescent="0.25">
      <c r="A27" s="24" t="s">
        <v>233</v>
      </c>
      <c r="B27" s="114"/>
      <c r="C27" s="272">
        <v>-2000</v>
      </c>
      <c r="D27" s="270">
        <v>0</v>
      </c>
      <c r="E27" s="271">
        <v>235000</v>
      </c>
      <c r="F27" s="272">
        <v>235000</v>
      </c>
      <c r="G27" s="270">
        <v>0</v>
      </c>
      <c r="H27" s="271">
        <v>235000</v>
      </c>
      <c r="I27" s="272">
        <v>235000</v>
      </c>
      <c r="J27" s="270">
        <v>235000</v>
      </c>
      <c r="K27" s="271">
        <v>235000</v>
      </c>
    </row>
    <row r="28" spans="1:23" ht="12.75" customHeight="1" x14ac:dyDescent="0.25">
      <c r="A28" s="59" t="s">
        <v>379</v>
      </c>
      <c r="B28" s="132"/>
      <c r="C28" s="45">
        <f>SUM(C22:C25)+C27</f>
        <v>-2000</v>
      </c>
      <c r="D28" s="44">
        <f t="shared" ref="D28:K28" si="1">SUM(D22:D25)+D27</f>
        <v>0</v>
      </c>
      <c r="E28" s="106">
        <f t="shared" si="1"/>
        <v>235000</v>
      </c>
      <c r="F28" s="45">
        <f t="shared" si="1"/>
        <v>235000</v>
      </c>
      <c r="G28" s="44">
        <f t="shared" si="1"/>
        <v>0</v>
      </c>
      <c r="H28" s="106">
        <f t="shared" si="1"/>
        <v>235000</v>
      </c>
      <c r="I28" s="45">
        <f t="shared" si="1"/>
        <v>235000</v>
      </c>
      <c r="J28" s="44">
        <f t="shared" si="1"/>
        <v>235000</v>
      </c>
      <c r="K28" s="106">
        <f t="shared" si="1"/>
        <v>235000</v>
      </c>
      <c r="L28" s="39"/>
      <c r="M28" s="39"/>
      <c r="N28" s="39"/>
      <c r="O28" s="39"/>
      <c r="P28" s="39"/>
      <c r="Q28" s="39"/>
      <c r="R28" s="39"/>
      <c r="S28" s="39"/>
      <c r="T28" s="39"/>
      <c r="U28" s="39"/>
      <c r="V28" s="39"/>
      <c r="W28" s="39"/>
    </row>
    <row r="29" spans="1:23" ht="5.0999999999999996" customHeight="1" x14ac:dyDescent="0.25">
      <c r="A29" s="25"/>
      <c r="B29" s="114"/>
      <c r="C29" s="28"/>
      <c r="D29" s="27"/>
      <c r="E29" s="105"/>
      <c r="F29" s="28"/>
      <c r="G29" s="27"/>
      <c r="H29" s="105"/>
      <c r="I29" s="28"/>
      <c r="J29" s="27"/>
      <c r="K29" s="105"/>
    </row>
    <row r="30" spans="1:23" ht="12.75" customHeight="1" x14ac:dyDescent="0.25">
      <c r="A30" s="55" t="s">
        <v>268</v>
      </c>
      <c r="B30" s="114"/>
      <c r="C30" s="28"/>
      <c r="D30" s="27"/>
      <c r="E30" s="105"/>
      <c r="F30" s="28"/>
      <c r="G30" s="27"/>
      <c r="H30" s="105"/>
      <c r="I30" s="28"/>
      <c r="J30" s="27"/>
      <c r="K30" s="105"/>
    </row>
    <row r="31" spans="1:23" ht="12.75" customHeight="1" x14ac:dyDescent="0.25">
      <c r="A31" s="55" t="s">
        <v>385</v>
      </c>
      <c r="B31" s="114"/>
      <c r="C31" s="28"/>
      <c r="D31" s="27"/>
      <c r="E31" s="105"/>
      <c r="F31" s="28"/>
      <c r="G31" s="27"/>
      <c r="H31" s="105"/>
      <c r="I31" s="28"/>
      <c r="J31" s="27"/>
      <c r="K31" s="105"/>
    </row>
    <row r="32" spans="1:23" ht="12.75" customHeight="1" x14ac:dyDescent="0.25">
      <c r="A32" s="24" t="s">
        <v>388</v>
      </c>
      <c r="B32" s="114"/>
      <c r="C32" s="272"/>
      <c r="D32" s="270"/>
      <c r="E32" s="271"/>
      <c r="F32" s="272"/>
      <c r="G32" s="270"/>
      <c r="H32" s="271"/>
      <c r="I32" s="272"/>
      <c r="J32" s="270"/>
      <c r="K32" s="271"/>
    </row>
    <row r="33" spans="1:23" ht="12.75" customHeight="1" x14ac:dyDescent="0.25">
      <c r="A33" s="24" t="s">
        <v>434</v>
      </c>
      <c r="B33" s="114"/>
      <c r="C33" s="272"/>
      <c r="D33" s="270"/>
      <c r="E33" s="271"/>
      <c r="F33" s="272"/>
      <c r="G33" s="270"/>
      <c r="H33" s="271"/>
      <c r="I33" s="272"/>
      <c r="J33" s="270"/>
      <c r="K33" s="271"/>
    </row>
    <row r="34" spans="1:23" ht="12.75" customHeight="1" x14ac:dyDescent="0.25">
      <c r="A34" s="24" t="s">
        <v>834</v>
      </c>
      <c r="B34" s="114"/>
      <c r="C34" s="272"/>
      <c r="D34" s="270"/>
      <c r="E34" s="271"/>
      <c r="F34" s="272"/>
      <c r="G34" s="270"/>
      <c r="H34" s="271"/>
      <c r="I34" s="272"/>
      <c r="J34" s="270"/>
      <c r="K34" s="271"/>
    </row>
    <row r="35" spans="1:23" ht="12.75" customHeight="1" x14ac:dyDescent="0.25">
      <c r="A35" s="55" t="s">
        <v>386</v>
      </c>
      <c r="B35" s="114"/>
      <c r="C35" s="28"/>
      <c r="D35" s="27"/>
      <c r="E35" s="105"/>
      <c r="F35" s="28"/>
      <c r="G35" s="27"/>
      <c r="H35" s="105"/>
      <c r="I35" s="28"/>
      <c r="J35" s="27"/>
      <c r="K35" s="105"/>
    </row>
    <row r="36" spans="1:23" ht="12.75" customHeight="1" x14ac:dyDescent="0.25">
      <c r="A36" s="24" t="s">
        <v>387</v>
      </c>
      <c r="B36" s="114"/>
      <c r="C36" s="272"/>
      <c r="D36" s="270"/>
      <c r="E36" s="271"/>
      <c r="F36" s="272"/>
      <c r="G36" s="270"/>
      <c r="H36" s="271"/>
      <c r="I36" s="272"/>
      <c r="J36" s="270"/>
      <c r="K36" s="271"/>
    </row>
    <row r="37" spans="1:23" ht="12.75" customHeight="1" x14ac:dyDescent="0.25">
      <c r="A37" s="59" t="s">
        <v>380</v>
      </c>
      <c r="B37" s="132"/>
      <c r="C37" s="45">
        <f>SUM(C31:C34)+C36</f>
        <v>0</v>
      </c>
      <c r="D37" s="44">
        <f t="shared" ref="D37:K37" si="2">SUM(D31:D34)+D36</f>
        <v>0</v>
      </c>
      <c r="E37" s="106">
        <f t="shared" si="2"/>
        <v>0</v>
      </c>
      <c r="F37" s="45">
        <f t="shared" si="2"/>
        <v>0</v>
      </c>
      <c r="G37" s="44">
        <f t="shared" si="2"/>
        <v>0</v>
      </c>
      <c r="H37" s="106">
        <f t="shared" si="2"/>
        <v>0</v>
      </c>
      <c r="I37" s="45">
        <f t="shared" si="2"/>
        <v>0</v>
      </c>
      <c r="J37" s="44">
        <f t="shared" si="2"/>
        <v>0</v>
      </c>
      <c r="K37" s="106">
        <f t="shared" si="2"/>
        <v>0</v>
      </c>
      <c r="L37" s="39"/>
      <c r="M37" s="39"/>
      <c r="N37" s="39"/>
      <c r="O37" s="39"/>
      <c r="P37" s="39"/>
      <c r="Q37" s="39"/>
      <c r="R37" s="39"/>
      <c r="S37" s="39"/>
      <c r="T37" s="39"/>
      <c r="U37" s="39"/>
      <c r="V37" s="39"/>
      <c r="W37" s="39"/>
    </row>
    <row r="38" spans="1:23" s="42" customFormat="1" ht="5.0999999999999996" customHeight="1" x14ac:dyDescent="0.25">
      <c r="A38" s="25"/>
      <c r="B38" s="114"/>
      <c r="C38" s="28"/>
      <c r="D38" s="27"/>
      <c r="E38" s="105"/>
      <c r="F38" s="28"/>
      <c r="G38" s="27"/>
      <c r="H38" s="105"/>
      <c r="I38" s="28"/>
      <c r="J38" s="27"/>
      <c r="K38" s="105"/>
    </row>
    <row r="39" spans="1:23" ht="12.75" customHeight="1" x14ac:dyDescent="0.25">
      <c r="A39" s="376" t="s">
        <v>389</v>
      </c>
      <c r="B39" s="140">
        <v>1</v>
      </c>
      <c r="C39" s="474">
        <f t="shared" ref="C39:K39" si="3">C18+C28+C37</f>
        <v>-129000</v>
      </c>
      <c r="D39" s="475">
        <f t="shared" si="3"/>
        <v>681000</v>
      </c>
      <c r="E39" s="476">
        <f t="shared" si="3"/>
        <v>470000</v>
      </c>
      <c r="F39" s="474">
        <f t="shared" si="3"/>
        <v>470000</v>
      </c>
      <c r="G39" s="475">
        <f t="shared" si="3"/>
        <v>0</v>
      </c>
      <c r="H39" s="476">
        <f t="shared" si="3"/>
        <v>470000</v>
      </c>
      <c r="I39" s="474">
        <f t="shared" si="3"/>
        <v>470000</v>
      </c>
      <c r="J39" s="475">
        <f t="shared" si="3"/>
        <v>470000</v>
      </c>
      <c r="K39" s="476">
        <f t="shared" si="3"/>
        <v>470000</v>
      </c>
      <c r="L39" s="39"/>
      <c r="M39" s="39"/>
      <c r="N39" s="39"/>
      <c r="O39" s="39"/>
      <c r="P39" s="39"/>
      <c r="Q39" s="39"/>
      <c r="R39" s="39"/>
      <c r="S39" s="39"/>
      <c r="T39" s="39"/>
      <c r="U39" s="39"/>
      <c r="V39" s="39"/>
      <c r="W39" s="39"/>
    </row>
    <row r="40" spans="1:23" ht="12.75" customHeight="1" x14ac:dyDescent="0.25">
      <c r="A40" s="24" t="s">
        <v>350</v>
      </c>
      <c r="B40" s="114">
        <v>2</v>
      </c>
      <c r="C40" s="279">
        <v>556000</v>
      </c>
      <c r="D40" s="488">
        <f>C41</f>
        <v>427000</v>
      </c>
      <c r="E40" s="489">
        <f>D41</f>
        <v>1108000</v>
      </c>
      <c r="F40" s="279"/>
      <c r="G40" s="488">
        <f>$F$40</f>
        <v>0</v>
      </c>
      <c r="H40" s="489">
        <f>$F$40</f>
        <v>0</v>
      </c>
      <c r="I40" s="490">
        <f>H41</f>
        <v>470000</v>
      </c>
      <c r="J40" s="369">
        <f>I41</f>
        <v>940000</v>
      </c>
      <c r="K40" s="372">
        <f>J41</f>
        <v>1410000</v>
      </c>
    </row>
    <row r="41" spans="1:23" ht="12.75" customHeight="1" x14ac:dyDescent="0.25">
      <c r="A41" s="345" t="s">
        <v>298</v>
      </c>
      <c r="B41" s="346">
        <v>2</v>
      </c>
      <c r="C41" s="226">
        <f>C39+C40</f>
        <v>427000</v>
      </c>
      <c r="D41" s="227">
        <f>D39+D40</f>
        <v>1108000</v>
      </c>
      <c r="E41" s="228">
        <f>E39+E40</f>
        <v>1578000</v>
      </c>
      <c r="F41" s="226">
        <f t="shared" ref="F41:K41" si="4">F39+F40</f>
        <v>470000</v>
      </c>
      <c r="G41" s="227">
        <f t="shared" si="4"/>
        <v>0</v>
      </c>
      <c r="H41" s="228">
        <f t="shared" si="4"/>
        <v>470000</v>
      </c>
      <c r="I41" s="226">
        <f t="shared" si="4"/>
        <v>940000</v>
      </c>
      <c r="J41" s="227">
        <f t="shared" si="4"/>
        <v>1410000</v>
      </c>
      <c r="K41" s="228">
        <f t="shared" si="4"/>
        <v>1880000</v>
      </c>
    </row>
    <row r="42" spans="1:23" ht="12.75" customHeight="1" x14ac:dyDescent="0.25">
      <c r="A42" s="35" t="s">
        <v>185</v>
      </c>
      <c r="B42" s="36"/>
      <c r="C42" s="38"/>
      <c r="D42" s="38"/>
      <c r="E42" s="39"/>
      <c r="F42" s="39"/>
      <c r="G42" s="39"/>
      <c r="H42" s="39"/>
      <c r="I42" s="39"/>
      <c r="J42" s="39"/>
      <c r="K42" s="39"/>
    </row>
    <row r="43" spans="1:23" ht="12.75" customHeight="1" x14ac:dyDescent="0.25">
      <c r="A43" s="47" t="s">
        <v>600</v>
      </c>
      <c r="B43" s="36"/>
      <c r="C43" s="38"/>
      <c r="D43" s="38"/>
      <c r="E43" s="39"/>
      <c r="F43" s="39"/>
      <c r="G43" s="39"/>
      <c r="H43" s="39"/>
      <c r="I43" s="39"/>
      <c r="J43" s="39"/>
      <c r="K43" s="39"/>
    </row>
    <row r="44" spans="1:23" ht="12.75" customHeight="1" x14ac:dyDescent="0.25">
      <c r="A44" s="472" t="s">
        <v>599</v>
      </c>
      <c r="B44" s="36"/>
      <c r="C44" s="38"/>
      <c r="D44" s="38"/>
      <c r="E44" s="39"/>
      <c r="F44" s="39"/>
      <c r="G44" s="39"/>
      <c r="H44" s="39"/>
      <c r="I44" s="39"/>
      <c r="J44" s="39"/>
      <c r="K44" s="39"/>
    </row>
    <row r="45" spans="1:23" ht="12.75" customHeight="1" x14ac:dyDescent="0.25">
      <c r="A45" s="42"/>
      <c r="B45" s="36"/>
      <c r="C45" s="38"/>
      <c r="D45" s="38"/>
      <c r="E45" s="39"/>
      <c r="F45" s="39"/>
      <c r="G45" s="39"/>
      <c r="H45" s="39"/>
      <c r="I45" s="39"/>
      <c r="J45" s="39"/>
      <c r="K45" s="39"/>
    </row>
    <row r="46" spans="1:23" ht="12.75" customHeight="1" x14ac:dyDescent="0.25">
      <c r="A46" s="41"/>
      <c r="B46" s="41" t="s">
        <v>142</v>
      </c>
      <c r="C46" s="26">
        <f>C41-('D4-FinPos'!C6+'D4-FinPos'!C7)</f>
        <v>-4000</v>
      </c>
      <c r="D46" s="26">
        <f>D41-('D4-FinPos'!D6+'D4-FinPos'!D7)</f>
        <v>-37000</v>
      </c>
      <c r="E46" s="26">
        <f>E41-('D4-FinPos'!E6+'D4-FinPos'!E7)</f>
        <v>1171000</v>
      </c>
      <c r="F46" s="26">
        <f>F41-('D4-FinPos'!F6+'D4-FinPos'!F7)</f>
        <v>233766</v>
      </c>
      <c r="G46" s="26">
        <f>G41-('D4-FinPos'!G6+'D4-FinPos'!G7)</f>
        <v>0</v>
      </c>
      <c r="H46" s="26">
        <f>H41-('D4-FinPos'!H6+'D4-FinPos'!H7)</f>
        <v>233766</v>
      </c>
      <c r="I46" s="26">
        <f>I41-('D4-FinPos'!I6+'D4-FinPos'!I7)</f>
        <v>228643</v>
      </c>
      <c r="J46" s="26">
        <f>J41-('D4-FinPos'!J6+'D4-FinPos'!J7)</f>
        <v>698643</v>
      </c>
      <c r="K46" s="26">
        <f>K41-('D4-FinPos'!K6+'D4-FinPos'!K7)</f>
        <v>1168643</v>
      </c>
    </row>
    <row r="47" spans="1:23" ht="11.25" customHeight="1" x14ac:dyDescent="0.25">
      <c r="A47" s="41"/>
      <c r="B47" s="40"/>
      <c r="C47" s="41"/>
    </row>
    <row r="48" spans="1:23"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sheetData>
  <sheetProtection password="A35B" sheet="1" objects="1" scenarios="1"/>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7C0315-9648-4AF1-B54D-1DD3BBD70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D673DE3-11D8-4EC4-854A-C5CE30C5BB74}">
  <ds:schemaRefs>
    <ds:schemaRef ds:uri="http://schemas.microsoft.com/sharepoint/v3"/>
    <ds:schemaRef ds:uri="http://schemas.microsoft.com/office/2006/documentManagement/types"/>
    <ds:schemaRef ds:uri="http://purl.org/dc/terms/"/>
    <ds:schemaRef ds:uri="http://www.w3.org/XML/1998/namespace"/>
    <ds:schemaRef ds:uri="http://schemas.microsoft.com/office/2006/metadata/properties"/>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1806C43A-1700-453F-8E00-10B5AB8632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127</vt:i4>
      </vt:variant>
    </vt:vector>
  </HeadingPairs>
  <TitlesOfParts>
    <vt:vector size="149" baseType="lpstr">
      <vt:lpstr>START</vt:lpstr>
      <vt:lpstr>Instructions</vt:lpstr>
      <vt:lpstr>D1-Sum</vt:lpstr>
      <vt:lpstr>D2-FinPerf</vt:lpstr>
      <vt:lpstr>D3-Capex</vt:lpstr>
      <vt:lpstr>D4-FinPos</vt:lpstr>
      <vt:lpstr>D5-CFlow</vt:lpstr>
      <vt:lpstr>SD1</vt:lpstr>
      <vt:lpstr>SD2</vt:lpstr>
      <vt:lpstr>SD3</vt:lpstr>
      <vt:lpstr>SD4</vt:lpstr>
      <vt:lpstr>SD5</vt:lpstr>
      <vt:lpstr>SD6</vt:lpstr>
      <vt:lpstr>SD7a</vt:lpstr>
      <vt:lpstr>SD7b</vt:lpstr>
      <vt:lpstr>SD7c</vt:lpstr>
      <vt:lpstr>SD7d</vt:lpstr>
      <vt:lpstr>SD7e</vt:lpstr>
      <vt:lpstr>SD8</vt:lpstr>
      <vt:lpstr>SD9</vt:lpstr>
      <vt:lpstr>SD10</vt:lpstr>
      <vt:lpstr>SD11</vt:lpstr>
      <vt:lpstr>_MEB1</vt:lpstr>
      <vt:lpstr>_MEB10</vt:lpstr>
      <vt:lpstr>_MEB11</vt:lpstr>
      <vt:lpstr>_MEB12</vt:lpstr>
      <vt:lpstr>_MEB13</vt:lpstr>
      <vt:lpstr>_MEB2</vt:lpstr>
      <vt:lpstr>_MEB3</vt:lpstr>
      <vt:lpstr>_MEB4</vt:lpstr>
      <vt:lpstr>_MEB5</vt:lpstr>
      <vt:lpstr>_MEB6</vt:lpstr>
      <vt:lpstr>_MEB7</vt:lpstr>
      <vt:lpstr>_MEB8</vt:lpstr>
      <vt:lpstr>_MEB9</vt:lpstr>
      <vt:lpstr>basedesc</vt:lpstr>
      <vt:lpstr>Cash1</vt:lpstr>
      <vt:lpstr>Cash2</vt:lpstr>
      <vt:lpstr>desc</vt:lpstr>
      <vt:lpstr>entity</vt:lpstr>
      <vt:lpstr>entityshort</vt:lpstr>
      <vt:lpstr>fdil</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head1A</vt:lpstr>
      <vt:lpstr>head1b</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MEB1A</vt:lpstr>
      <vt:lpstr>MEB5a</vt:lpstr>
      <vt:lpstr>MEB5b</vt:lpstr>
      <vt:lpstr>MEB9a</vt:lpstr>
      <vt:lpstr>MEB9b</vt:lpstr>
      <vt:lpstr>MEB9c</vt:lpstr>
      <vt:lpstr>MEB9d</vt:lpstr>
      <vt:lpstr>MEB9e</vt:lpstr>
      <vt:lpstr>MEBsum</vt:lpstr>
      <vt:lpstr>Instructions!MTREF</vt:lpstr>
      <vt:lpstr>MTREF</vt:lpstr>
      <vt:lpstr>muni</vt:lpstr>
      <vt:lpstr>'D1-Sum'!Print_Area</vt:lpstr>
      <vt:lpstr>'D2-FinPerf'!Print_Area</vt:lpstr>
      <vt:lpstr>'D4-FinPos'!Print_Area</vt:lpstr>
      <vt:lpstr>'D5-CFlow'!Print_Area</vt:lpstr>
      <vt:lpstr>Instructions!Print_Area</vt:lpstr>
      <vt:lpstr>'SD1'!Print_Area</vt:lpstr>
      <vt:lpstr>'SD10'!Print_Area</vt:lpstr>
      <vt:lpstr>'SD11'!Print_Area</vt:lpstr>
      <vt:lpstr>'SD2'!Print_Area</vt:lpstr>
      <vt:lpstr>'SD3'!Print_Area</vt:lpstr>
      <vt:lpstr>'SD4'!Print_Area</vt:lpstr>
      <vt:lpstr>'SD6'!Print_Area</vt:lpstr>
      <vt:lpstr>SD7a!Print_Area</vt:lpstr>
      <vt:lpstr>SD7b!Print_Area</vt:lpstr>
      <vt:lpstr>SD7c!Print_Area</vt:lpstr>
      <vt:lpstr>SD7d!Print_Area</vt:lpstr>
      <vt:lpstr>SD7e!Print_Area</vt:lpstr>
      <vt:lpstr>'SD8'!Print_Area</vt:lpstr>
      <vt:lpstr>'SD9'!Print_Area</vt:lpstr>
      <vt:lpstr>RandM</vt:lpstr>
      <vt:lpstr>result</vt:lpstr>
      <vt:lpstr>SFPerf1</vt:lpstr>
      <vt:lpstr>SFPerf2</vt:lpstr>
      <vt:lpstr>SFpos1</vt:lpstr>
      <vt:lpstr>SFpos2</vt:lpstr>
      <vt:lpstr>Table24</vt:lpstr>
      <vt:lpstr>TableA24</vt:lpstr>
      <vt:lpstr>TableD7</vt:lpstr>
      <vt:lpstr>TableD8</vt:lpstr>
      <vt:lpstr>Vdesc</vt:lpstr>
    </vt:vector>
  </TitlesOfParts>
  <Company>ctc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Johan Biewenga</cp:lastModifiedBy>
  <cp:lastPrinted>2015-03-02T13:45:05Z</cp:lastPrinted>
  <dcterms:created xsi:type="dcterms:W3CDTF">2004-04-07T16:19:08Z</dcterms:created>
  <dcterms:modified xsi:type="dcterms:W3CDTF">2018-05-28T09:44:34Z</dcterms:modified>
</cp:coreProperties>
</file>